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31"/>
  <workbookPr filterPrivacy="1" codeName="ThisWorkbook" defaultThemeVersion="124226"/>
  <xr:revisionPtr revIDLastSave="112" documentId="8_{6B2F998C-71C1-41F9-9538-CB8C5F7DE6F5}" xr6:coauthVersionLast="47" xr6:coauthVersionMax="47" xr10:uidLastSave="{07CDE089-6066-4F02-82D0-3E6C8925ADF5}"/>
  <bookViews>
    <workbookView xWindow="-110" yWindow="-110" windowWidth="19420" windowHeight="10420" tabRatio="883" firstSheet="6" activeTab="7" xr2:uid="{00000000-000D-0000-FFFF-FFFF00000000}"/>
  </bookViews>
  <sheets>
    <sheet name="Introduction" sheetId="52" r:id="rId1"/>
    <sheet name="Ex 1-Units" sheetId="22" state="hidden" r:id="rId2"/>
    <sheet name="Ex 2-change matrix" sheetId="49" state="hidden" r:id="rId3"/>
    <sheet name="Ex 3-extent account" sheetId="51" r:id="rId4"/>
    <sheet name="Ex 2 -Condition" sheetId="25" r:id="rId5"/>
    <sheet name="Carbon - lookup table" sheetId="50" r:id="rId6"/>
    <sheet name="Ex 3-Carbon account" sheetId="29" r:id="rId7"/>
    <sheet name="Ex 4-rainfall model" sheetId="23" r:id="rId8"/>
    <sheet name="Ex 5-Services estimation&amp; suppl" sheetId="32" r:id="rId9"/>
    <sheet name="Ex 6-Services use acc" sheetId="24" r:id="rId10"/>
    <sheet name="Ex 7- resource rent" sheetId="46" r:id="rId11"/>
    <sheet name="Ex 8-services supply in $" sheetId="44" r:id="rId12"/>
  </sheets>
  <definedNames>
    <definedName name="Answers">#REF!</definedName>
    <definedName name="_xlnm.Print_Area" localSheetId="6">'Ex 3-Carbon account'!$A$1:$J$23</definedName>
    <definedName name="_xlnm.Print_Area" localSheetId="8">'Ex 5-Services estimation&amp; suppl'!$A$1:$H$5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29" l="1"/>
  <c r="W26" i="50"/>
  <c r="O20" i="29"/>
  <c r="N20" i="29"/>
  <c r="M20" i="29"/>
  <c r="L20" i="29"/>
  <c r="K20" i="29"/>
  <c r="J20" i="29"/>
  <c r="P19" i="29"/>
  <c r="P18" i="29"/>
  <c r="P17" i="29"/>
  <c r="P16" i="29"/>
  <c r="P15" i="29"/>
  <c r="P14" i="29"/>
  <c r="P20" i="29" s="1"/>
  <c r="X31" i="50"/>
  <c r="W31" i="50"/>
  <c r="X28" i="50"/>
  <c r="X27" i="50"/>
  <c r="X26" i="50"/>
  <c r="X29" i="50" s="1"/>
  <c r="W29" i="50"/>
  <c r="W28" i="50"/>
  <c r="W27" i="50"/>
  <c r="C18" i="29"/>
  <c r="E22" i="29"/>
  <c r="K15" i="32"/>
  <c r="F21" i="32"/>
  <c r="X46" i="25"/>
  <c r="U46" i="25"/>
  <c r="U23" i="25"/>
  <c r="H36" i="52" l="1"/>
  <c r="G36" i="52"/>
  <c r="F36" i="52"/>
  <c r="E36" i="52"/>
  <c r="D36" i="52"/>
  <c r="C36" i="52"/>
  <c r="I35" i="52"/>
  <c r="I34" i="52"/>
  <c r="I33" i="52"/>
  <c r="I32" i="52"/>
  <c r="I31" i="52"/>
  <c r="I30" i="52"/>
  <c r="U64" i="25"/>
  <c r="I36" i="52" l="1"/>
  <c r="T9" i="25"/>
  <c r="X9" i="25"/>
  <c r="X10" i="25"/>
  <c r="X11" i="25"/>
  <c r="X12" i="25"/>
  <c r="X13" i="25"/>
  <c r="X14" i="25"/>
  <c r="X15" i="25"/>
  <c r="AD4" i="25"/>
  <c r="X17" i="25"/>
  <c r="X18" i="25"/>
  <c r="T14" i="51" l="1"/>
  <c r="S14" i="51"/>
  <c r="R14" i="51"/>
  <c r="Q14" i="51"/>
  <c r="P14" i="51"/>
  <c r="O14" i="51"/>
  <c r="U13" i="51"/>
  <c r="U12" i="51"/>
  <c r="U11" i="51"/>
  <c r="U10" i="51"/>
  <c r="U9" i="51"/>
  <c r="U8" i="51"/>
  <c r="U14" i="51" s="1"/>
  <c r="AD13" i="25"/>
  <c r="T21" i="22"/>
  <c r="E13" i="46" l="1"/>
  <c r="V15" i="24"/>
  <c r="D30" i="32"/>
  <c r="E30" i="32"/>
  <c r="F30" i="32"/>
  <c r="G30" i="32"/>
  <c r="F31" i="32"/>
  <c r="G31" i="32"/>
  <c r="D32" i="32"/>
  <c r="F32" i="32"/>
  <c r="D33" i="32"/>
  <c r="G33" i="32"/>
  <c r="D34" i="32"/>
  <c r="E34" i="32"/>
  <c r="F34" i="32"/>
  <c r="G34" i="32"/>
  <c r="T28" i="25"/>
  <c r="E10" i="44" l="1"/>
  <c r="E6" i="44"/>
  <c r="H6" i="44" s="1"/>
  <c r="L15" i="32" l="1"/>
  <c r="X13" i="24" s="1"/>
  <c r="T17" i="23" l="1"/>
  <c r="C20" i="29"/>
  <c r="G20" i="29"/>
  <c r="E20" i="29"/>
  <c r="D20" i="29"/>
  <c r="G18" i="29"/>
  <c r="E18" i="29"/>
  <c r="D18" i="29"/>
  <c r="E17" i="29"/>
  <c r="G17" i="29"/>
  <c r="C17" i="29"/>
  <c r="M29" i="50"/>
  <c r="L29" i="50"/>
  <c r="G34" i="50"/>
  <c r="H34" i="50"/>
  <c r="G35" i="50"/>
  <c r="H35" i="50"/>
  <c r="H33" i="50"/>
  <c r="G33" i="50"/>
  <c r="P36" i="50"/>
  <c r="P35" i="50"/>
  <c r="O35" i="50"/>
  <c r="L42" i="50"/>
  <c r="L43" i="50"/>
  <c r="L41" i="50"/>
  <c r="K17" i="50"/>
  <c r="K40" i="50" s="1"/>
  <c r="L17" i="50"/>
  <c r="L40" i="50" s="1"/>
  <c r="K18" i="50"/>
  <c r="K41" i="50" s="1"/>
  <c r="L18" i="50"/>
  <c r="L16" i="50"/>
  <c r="L39" i="50" s="1"/>
  <c r="K16" i="50"/>
  <c r="K39" i="50" s="1"/>
  <c r="K19" i="50"/>
  <c r="K42" i="50" s="1"/>
  <c r="L19" i="50"/>
  <c r="K20" i="50"/>
  <c r="K43" i="50" s="1"/>
  <c r="L20" i="50"/>
  <c r="K21" i="50"/>
  <c r="K44" i="50" s="1"/>
  <c r="L21" i="50"/>
  <c r="L44" i="50" s="1"/>
  <c r="E18" i="50"/>
  <c r="E41" i="50" s="1"/>
  <c r="F18" i="50"/>
  <c r="F41" i="50" s="1"/>
  <c r="G18" i="50"/>
  <c r="G41" i="50" s="1"/>
  <c r="H18" i="50"/>
  <c r="H41" i="50" s="1"/>
  <c r="I18" i="50"/>
  <c r="I41" i="50" s="1"/>
  <c r="J18" i="50"/>
  <c r="J41" i="50" s="1"/>
  <c r="E19" i="50"/>
  <c r="E42" i="50" s="1"/>
  <c r="F19" i="50"/>
  <c r="F42" i="50" s="1"/>
  <c r="G19" i="50"/>
  <c r="G42" i="50" s="1"/>
  <c r="H19" i="50"/>
  <c r="H42" i="50" s="1"/>
  <c r="I19" i="50"/>
  <c r="I42" i="50" s="1"/>
  <c r="J19" i="50"/>
  <c r="J42" i="50" s="1"/>
  <c r="E20" i="50"/>
  <c r="E43" i="50" s="1"/>
  <c r="F20" i="50"/>
  <c r="F43" i="50" s="1"/>
  <c r="G20" i="50"/>
  <c r="G43" i="50" s="1"/>
  <c r="H20" i="50"/>
  <c r="H43" i="50" s="1"/>
  <c r="I20" i="50"/>
  <c r="I43" i="50" s="1"/>
  <c r="J20" i="50"/>
  <c r="J43" i="50" s="1"/>
  <c r="E21" i="50"/>
  <c r="E44" i="50" s="1"/>
  <c r="F21" i="50"/>
  <c r="F44" i="50" s="1"/>
  <c r="G21" i="50"/>
  <c r="G44" i="50" s="1"/>
  <c r="H21" i="50"/>
  <c r="H44" i="50" s="1"/>
  <c r="I21" i="50"/>
  <c r="I44" i="50" s="1"/>
  <c r="J21" i="50"/>
  <c r="J44" i="50" s="1"/>
  <c r="F17" i="50"/>
  <c r="F40" i="50" s="1"/>
  <c r="G17" i="50"/>
  <c r="G40" i="50" s="1"/>
  <c r="H17" i="50"/>
  <c r="H40" i="50" s="1"/>
  <c r="I17" i="50"/>
  <c r="I40" i="50" s="1"/>
  <c r="J17" i="50"/>
  <c r="J40" i="50" s="1"/>
  <c r="E17" i="50"/>
  <c r="E40" i="50" s="1"/>
  <c r="N13" i="50"/>
  <c r="N36" i="50" s="1"/>
  <c r="O13" i="50"/>
  <c r="O36" i="50" s="1"/>
  <c r="N14" i="50"/>
  <c r="N37" i="50" s="1"/>
  <c r="O14" i="50"/>
  <c r="O37" i="50" s="1"/>
  <c r="N15" i="50"/>
  <c r="N38" i="50" s="1"/>
  <c r="O15" i="50"/>
  <c r="O38" i="50" s="1"/>
  <c r="M15" i="50"/>
  <c r="M38" i="50" s="1"/>
  <c r="M14" i="50"/>
  <c r="M37" i="50" s="1"/>
  <c r="M13" i="50"/>
  <c r="M36" i="50" s="1"/>
  <c r="K14" i="50"/>
  <c r="K37" i="50" s="1"/>
  <c r="K15" i="50"/>
  <c r="K38" i="50" s="1"/>
  <c r="I14" i="50"/>
  <c r="I37" i="50" s="1"/>
  <c r="J14" i="50"/>
  <c r="J37" i="50" s="1"/>
  <c r="I15" i="50"/>
  <c r="I38" i="50" s="1"/>
  <c r="J15" i="50"/>
  <c r="J38" i="50" s="1"/>
  <c r="I16" i="50"/>
  <c r="I39" i="50" s="1"/>
  <c r="J16" i="50"/>
  <c r="J39" i="50" s="1"/>
  <c r="H15" i="50"/>
  <c r="H38" i="50" s="1"/>
  <c r="H16" i="50"/>
  <c r="H39" i="50" s="1"/>
  <c r="H14" i="50"/>
  <c r="H37" i="50" s="1"/>
  <c r="J9" i="50"/>
  <c r="J32" i="50" s="1"/>
  <c r="I8" i="50"/>
  <c r="I31" i="50" s="1"/>
  <c r="I9" i="50"/>
  <c r="I32" i="50" s="1"/>
  <c r="H7" i="50"/>
  <c r="H30" i="50" s="1"/>
  <c r="H8" i="50"/>
  <c r="H31" i="50" s="1"/>
  <c r="H9" i="50"/>
  <c r="H32" i="50" s="1"/>
  <c r="H10" i="50"/>
  <c r="H11" i="50"/>
  <c r="H12" i="50"/>
  <c r="H13" i="50"/>
  <c r="H36" i="50" s="1"/>
  <c r="F5" i="50"/>
  <c r="F28" i="50" s="1"/>
  <c r="F6" i="50"/>
  <c r="F29" i="50" s="1"/>
  <c r="G6" i="50"/>
  <c r="G29" i="50" s="1"/>
  <c r="F7" i="50"/>
  <c r="F30" i="50" s="1"/>
  <c r="G7" i="50"/>
  <c r="G30" i="50" s="1"/>
  <c r="F8" i="50"/>
  <c r="F31" i="50" s="1"/>
  <c r="G8" i="50"/>
  <c r="G31" i="50" s="1"/>
  <c r="F9" i="50"/>
  <c r="F32" i="50" s="1"/>
  <c r="G9" i="50"/>
  <c r="G32" i="50" s="1"/>
  <c r="F10" i="50"/>
  <c r="F33" i="50" s="1"/>
  <c r="G10" i="50"/>
  <c r="F11" i="50"/>
  <c r="F34" i="50" s="1"/>
  <c r="G11" i="50"/>
  <c r="F12" i="50"/>
  <c r="F35" i="50" s="1"/>
  <c r="G12" i="50"/>
  <c r="F13" i="50"/>
  <c r="F36" i="50" s="1"/>
  <c r="G13" i="50"/>
  <c r="G36" i="50" s="1"/>
  <c r="F14" i="50"/>
  <c r="F37" i="50" s="1"/>
  <c r="G14" i="50"/>
  <c r="G37" i="50" s="1"/>
  <c r="F15" i="50"/>
  <c r="F38" i="50" s="1"/>
  <c r="G15" i="50"/>
  <c r="G38" i="50" s="1"/>
  <c r="F16" i="50"/>
  <c r="F39" i="50" s="1"/>
  <c r="G16" i="50"/>
  <c r="G39" i="50" s="1"/>
  <c r="E6" i="50"/>
  <c r="E29" i="50" s="1"/>
  <c r="E7" i="50"/>
  <c r="E30" i="50" s="1"/>
  <c r="E8" i="50"/>
  <c r="E31" i="50" s="1"/>
  <c r="E9" i="50"/>
  <c r="E32" i="50" s="1"/>
  <c r="E10" i="50"/>
  <c r="E33" i="50" s="1"/>
  <c r="E11" i="50"/>
  <c r="E34" i="50" s="1"/>
  <c r="E12" i="50"/>
  <c r="E35" i="50" s="1"/>
  <c r="E13" i="50"/>
  <c r="E36" i="50" s="1"/>
  <c r="E14" i="50"/>
  <c r="E37" i="50" s="1"/>
  <c r="E15" i="50"/>
  <c r="E38" i="50" s="1"/>
  <c r="E16" i="50"/>
  <c r="E39" i="50" s="1"/>
  <c r="E5" i="50"/>
  <c r="E28" i="50" s="1"/>
  <c r="I11" i="50"/>
  <c r="I34" i="50" s="1"/>
  <c r="J11" i="50"/>
  <c r="J34" i="50" s="1"/>
  <c r="K11" i="50"/>
  <c r="K34" i="50" s="1"/>
  <c r="I12" i="50"/>
  <c r="I35" i="50" s="1"/>
  <c r="J12" i="50"/>
  <c r="J35" i="50" s="1"/>
  <c r="K12" i="50"/>
  <c r="K35" i="50" s="1"/>
  <c r="I13" i="50"/>
  <c r="I36" i="50" s="1"/>
  <c r="J13" i="50"/>
  <c r="J36" i="50" s="1"/>
  <c r="K13" i="50"/>
  <c r="K36" i="50" s="1"/>
  <c r="J10" i="50"/>
  <c r="J33" i="50" s="1"/>
  <c r="K10" i="50"/>
  <c r="K33" i="50" s="1"/>
  <c r="I10" i="50"/>
  <c r="I33" i="50" s="1"/>
  <c r="J3" i="50"/>
  <c r="J26" i="50" s="1"/>
  <c r="J4" i="50"/>
  <c r="J27" i="50" s="1"/>
  <c r="J5" i="50"/>
  <c r="J28" i="50" s="1"/>
  <c r="J6" i="50"/>
  <c r="J29" i="50" s="1"/>
  <c r="J7" i="50"/>
  <c r="J30" i="50" s="1"/>
  <c r="K3" i="50"/>
  <c r="K26" i="50" s="1"/>
  <c r="K4" i="50"/>
  <c r="K27" i="50" s="1"/>
  <c r="K5" i="50"/>
  <c r="K28" i="50" s="1"/>
  <c r="K6" i="50"/>
  <c r="K29" i="50" s="1"/>
  <c r="K7" i="50"/>
  <c r="K30" i="50" s="1"/>
  <c r="K8" i="50"/>
  <c r="K31" i="50" s="1"/>
  <c r="L3" i="50"/>
  <c r="L26" i="50" s="1"/>
  <c r="L4" i="50"/>
  <c r="L27" i="50" s="1"/>
  <c r="L5" i="50"/>
  <c r="L28" i="50" s="1"/>
  <c r="L6" i="50"/>
  <c r="L7" i="50"/>
  <c r="L30" i="50" s="1"/>
  <c r="L8" i="50"/>
  <c r="L31" i="50" s="1"/>
  <c r="L9" i="50"/>
  <c r="L32" i="50" s="1"/>
  <c r="M3" i="50"/>
  <c r="M26" i="50" s="1"/>
  <c r="M4" i="50"/>
  <c r="M27" i="50" s="1"/>
  <c r="M5" i="50"/>
  <c r="M28" i="50" s="1"/>
  <c r="M6" i="50"/>
  <c r="M7" i="50"/>
  <c r="M30" i="50" s="1"/>
  <c r="M8" i="50"/>
  <c r="M31" i="50" s="1"/>
  <c r="M9" i="50"/>
  <c r="M32" i="50" s="1"/>
  <c r="N9" i="50"/>
  <c r="N32" i="50" s="1"/>
  <c r="O9" i="50"/>
  <c r="O32" i="50" s="1"/>
  <c r="M10" i="50"/>
  <c r="M33" i="50" s="1"/>
  <c r="N10" i="50"/>
  <c r="N33" i="50" s="1"/>
  <c r="O10" i="50"/>
  <c r="O33" i="50" s="1"/>
  <c r="M11" i="50"/>
  <c r="M34" i="50" s="1"/>
  <c r="N11" i="50"/>
  <c r="N34" i="50" s="1"/>
  <c r="O11" i="50"/>
  <c r="O34" i="50" s="1"/>
  <c r="M12" i="50"/>
  <c r="M35" i="50" s="1"/>
  <c r="N12" i="50"/>
  <c r="N35" i="50" s="1"/>
  <c r="O12" i="50"/>
  <c r="M17" i="50"/>
  <c r="M40" i="50" s="1"/>
  <c r="N17" i="50"/>
  <c r="N40" i="50" s="1"/>
  <c r="O17" i="50"/>
  <c r="O40" i="50" s="1"/>
  <c r="M18" i="50"/>
  <c r="M41" i="50" s="1"/>
  <c r="N18" i="50"/>
  <c r="N41" i="50" s="1"/>
  <c r="O18" i="50"/>
  <c r="O41" i="50" s="1"/>
  <c r="M19" i="50"/>
  <c r="M42" i="50" s="1"/>
  <c r="N19" i="50"/>
  <c r="N42" i="50" s="1"/>
  <c r="O19" i="50"/>
  <c r="O42" i="50" s="1"/>
  <c r="M20" i="50"/>
  <c r="M43" i="50" s="1"/>
  <c r="N20" i="50"/>
  <c r="N43" i="50" s="1"/>
  <c r="O20" i="50"/>
  <c r="O43" i="50" s="1"/>
  <c r="M21" i="50"/>
  <c r="M44" i="50" s="1"/>
  <c r="N21" i="50"/>
  <c r="N44" i="50" s="1"/>
  <c r="O21" i="50"/>
  <c r="O44" i="50" s="1"/>
  <c r="P19" i="50"/>
  <c r="P42" i="50" s="1"/>
  <c r="P20" i="50"/>
  <c r="P43" i="50" s="1"/>
  <c r="P21" i="50"/>
  <c r="P44" i="50" s="1"/>
  <c r="P9" i="50"/>
  <c r="P32" i="50" s="1"/>
  <c r="Q9" i="50"/>
  <c r="Q32" i="50" s="1"/>
  <c r="R9" i="50"/>
  <c r="R32" i="50" s="1"/>
  <c r="S9" i="50"/>
  <c r="S32" i="50" s="1"/>
  <c r="P10" i="50"/>
  <c r="P33" i="50" s="1"/>
  <c r="Q10" i="50"/>
  <c r="Q33" i="50" s="1"/>
  <c r="R10" i="50"/>
  <c r="R33" i="50" s="1"/>
  <c r="S10" i="50"/>
  <c r="S33" i="50" s="1"/>
  <c r="P11" i="50"/>
  <c r="P34" i="50" s="1"/>
  <c r="Q11" i="50"/>
  <c r="Q34" i="50" s="1"/>
  <c r="R11" i="50"/>
  <c r="R34" i="50" s="1"/>
  <c r="S11" i="50"/>
  <c r="S34" i="50" s="1"/>
  <c r="P12" i="50"/>
  <c r="Q12" i="50"/>
  <c r="Q35" i="50" s="1"/>
  <c r="R12" i="50"/>
  <c r="R35" i="50" s="1"/>
  <c r="S12" i="50"/>
  <c r="S35" i="50" s="1"/>
  <c r="P13" i="50"/>
  <c r="Q13" i="50"/>
  <c r="Q36" i="50" s="1"/>
  <c r="R13" i="50"/>
  <c r="R36" i="50" s="1"/>
  <c r="S13" i="50"/>
  <c r="S36" i="50" s="1"/>
  <c r="P14" i="50"/>
  <c r="P37" i="50" s="1"/>
  <c r="Q14" i="50"/>
  <c r="Q37" i="50" s="1"/>
  <c r="R14" i="50"/>
  <c r="R37" i="50" s="1"/>
  <c r="S14" i="50"/>
  <c r="S37" i="50" s="1"/>
  <c r="P15" i="50"/>
  <c r="P38" i="50" s="1"/>
  <c r="Q15" i="50"/>
  <c r="Q38" i="50" s="1"/>
  <c r="R15" i="50"/>
  <c r="R38" i="50" s="1"/>
  <c r="S15" i="50"/>
  <c r="S38" i="50" s="1"/>
  <c r="P17" i="50"/>
  <c r="P40" i="50" s="1"/>
  <c r="Q17" i="50"/>
  <c r="Q40" i="50" s="1"/>
  <c r="R17" i="50"/>
  <c r="R40" i="50" s="1"/>
  <c r="S17" i="50"/>
  <c r="S40" i="50" s="1"/>
  <c r="P18" i="50"/>
  <c r="P41" i="50" s="1"/>
  <c r="Q18" i="50"/>
  <c r="Q41" i="50" s="1"/>
  <c r="R18" i="50"/>
  <c r="R41" i="50" s="1"/>
  <c r="S18" i="50"/>
  <c r="S41" i="50" s="1"/>
  <c r="T10" i="50"/>
  <c r="T33" i="50" s="1"/>
  <c r="T11" i="50"/>
  <c r="T34" i="50" s="1"/>
  <c r="T12" i="50"/>
  <c r="T35" i="50" s="1"/>
  <c r="T13" i="50"/>
  <c r="T36" i="50" s="1"/>
  <c r="T14" i="50"/>
  <c r="T37" i="50" s="1"/>
  <c r="T15" i="50"/>
  <c r="T38" i="50" s="1"/>
  <c r="T17" i="50"/>
  <c r="T40" i="50" s="1"/>
  <c r="T18" i="50"/>
  <c r="T41" i="50" s="1"/>
  <c r="T9" i="50"/>
  <c r="T32" i="50" s="1"/>
  <c r="N4" i="50"/>
  <c r="N27" i="50" s="1"/>
  <c r="O4" i="50"/>
  <c r="O27" i="50" s="1"/>
  <c r="P4" i="50"/>
  <c r="P27" i="50" s="1"/>
  <c r="Q4" i="50"/>
  <c r="Q27" i="50" s="1"/>
  <c r="R4" i="50"/>
  <c r="R27" i="50" s="1"/>
  <c r="S4" i="50"/>
  <c r="T4" i="50"/>
  <c r="N5" i="50"/>
  <c r="N28" i="50" s="1"/>
  <c r="O5" i="50"/>
  <c r="O28" i="50" s="1"/>
  <c r="P5" i="50"/>
  <c r="P28" i="50" s="1"/>
  <c r="Q5" i="50"/>
  <c r="Q28" i="50" s="1"/>
  <c r="R5" i="50"/>
  <c r="R28" i="50" s="1"/>
  <c r="S5" i="50"/>
  <c r="S28" i="50" s="1"/>
  <c r="T5" i="50"/>
  <c r="T28" i="50" s="1"/>
  <c r="N6" i="50"/>
  <c r="N29" i="50" s="1"/>
  <c r="O6" i="50"/>
  <c r="O29" i="50" s="1"/>
  <c r="P6" i="50"/>
  <c r="P29" i="50" s="1"/>
  <c r="Q6" i="50"/>
  <c r="Q29" i="50" s="1"/>
  <c r="R6" i="50"/>
  <c r="R29" i="50" s="1"/>
  <c r="S6" i="50"/>
  <c r="S29" i="50" s="1"/>
  <c r="T6" i="50"/>
  <c r="T29" i="50" s="1"/>
  <c r="N7" i="50"/>
  <c r="N30" i="50" s="1"/>
  <c r="O7" i="50"/>
  <c r="O30" i="50" s="1"/>
  <c r="P7" i="50"/>
  <c r="P30" i="50" s="1"/>
  <c r="Q7" i="50"/>
  <c r="Q30" i="50" s="1"/>
  <c r="R7" i="50"/>
  <c r="R30" i="50" s="1"/>
  <c r="S7" i="50"/>
  <c r="S30" i="50" s="1"/>
  <c r="T7" i="50"/>
  <c r="T30" i="50" s="1"/>
  <c r="N8" i="50"/>
  <c r="N31" i="50" s="1"/>
  <c r="O8" i="50"/>
  <c r="O31" i="50" s="1"/>
  <c r="P8" i="50"/>
  <c r="P31" i="50" s="1"/>
  <c r="Q8" i="50"/>
  <c r="Q31" i="50" s="1"/>
  <c r="R8" i="50"/>
  <c r="R31" i="50" s="1"/>
  <c r="S8" i="50"/>
  <c r="S31" i="50" s="1"/>
  <c r="T8" i="50"/>
  <c r="T31" i="50" s="1"/>
  <c r="O3" i="50"/>
  <c r="O26" i="50" s="1"/>
  <c r="P3" i="50"/>
  <c r="P26" i="50" s="1"/>
  <c r="Q3" i="50"/>
  <c r="Q26" i="50" s="1"/>
  <c r="R3" i="50"/>
  <c r="R26" i="50" s="1"/>
  <c r="S3" i="50"/>
  <c r="T3" i="50"/>
  <c r="N3" i="50"/>
  <c r="N26" i="50" s="1"/>
  <c r="I6" i="50"/>
  <c r="I29" i="50" s="1"/>
  <c r="I5" i="50"/>
  <c r="I28" i="50" s="1"/>
  <c r="H5" i="50"/>
  <c r="H28" i="50" s="1"/>
  <c r="H3" i="50"/>
  <c r="H26" i="50" s="1"/>
  <c r="I3" i="50"/>
  <c r="I26" i="50" s="1"/>
  <c r="H4" i="50"/>
  <c r="H27" i="50" s="1"/>
  <c r="I4" i="50"/>
  <c r="I27" i="50" s="1"/>
  <c r="G4" i="50"/>
  <c r="G27" i="50" s="1"/>
  <c r="G3" i="50"/>
  <c r="G26" i="50" s="1"/>
  <c r="X33" i="25"/>
  <c r="X36" i="25"/>
  <c r="U48" i="25"/>
  <c r="V48" i="25"/>
  <c r="W48" i="25"/>
  <c r="X41" i="25"/>
  <c r="T10" i="25"/>
  <c r="T11" i="25"/>
  <c r="T12" i="25"/>
  <c r="T13" i="25"/>
  <c r="T14" i="25"/>
  <c r="T15" i="25"/>
  <c r="T16" i="25"/>
  <c r="T17" i="25"/>
  <c r="T18" i="25"/>
  <c r="T19" i="25"/>
  <c r="T53" i="22"/>
  <c r="T52" i="22"/>
  <c r="T51" i="22"/>
  <c r="T50" i="22"/>
  <c r="T49" i="22"/>
  <c r="T45" i="22"/>
  <c r="W25" i="25" l="1"/>
  <c r="U25" i="25"/>
  <c r="V25" i="25"/>
  <c r="Q22" i="50"/>
  <c r="I45" i="50"/>
  <c r="Q45" i="50"/>
  <c r="I22" i="50"/>
  <c r="J22" i="50"/>
  <c r="R22" i="50"/>
  <c r="J45" i="50"/>
  <c r="R45" i="50"/>
  <c r="E45" i="50"/>
  <c r="K22" i="50"/>
  <c r="S22" i="50"/>
  <c r="E22" i="50"/>
  <c r="W4" i="50"/>
  <c r="K45" i="50"/>
  <c r="F45" i="50"/>
  <c r="L22" i="50"/>
  <c r="T22" i="50"/>
  <c r="F22" i="50"/>
  <c r="S45" i="50"/>
  <c r="T45" i="50"/>
  <c r="N22" i="50"/>
  <c r="M45" i="50"/>
  <c r="M22" i="50"/>
  <c r="G22" i="50"/>
  <c r="O22" i="50"/>
  <c r="G45" i="50"/>
  <c r="O45" i="50"/>
  <c r="N45" i="50"/>
  <c r="H22" i="50"/>
  <c r="P22" i="50"/>
  <c r="W5" i="50"/>
  <c r="H45" i="50"/>
  <c r="P45" i="50"/>
  <c r="L45" i="50"/>
  <c r="X48" i="25"/>
  <c r="T54" i="22"/>
  <c r="W3" i="50"/>
  <c r="X25" i="25" l="1"/>
  <c r="G22" i="32"/>
  <c r="G17" i="32"/>
  <c r="U45" i="50"/>
  <c r="U22" i="50"/>
  <c r="W6" i="50"/>
  <c r="G14" i="32"/>
  <c r="G32" i="32" l="1"/>
  <c r="G35" i="32" s="1"/>
  <c r="Y16" i="24" s="1"/>
  <c r="Y17" i="24" s="1"/>
  <c r="G24" i="32"/>
  <c r="C14" i="32"/>
  <c r="C15" i="32"/>
  <c r="C16" i="32"/>
  <c r="C17" i="32"/>
  <c r="C18" i="32"/>
  <c r="C19" i="32"/>
  <c r="C20" i="32"/>
  <c r="C34" i="32" s="1"/>
  <c r="C21" i="32"/>
  <c r="C33" i="32" s="1"/>
  <c r="C22" i="32"/>
  <c r="C23" i="32"/>
  <c r="C13" i="32"/>
  <c r="C31" i="32" s="1"/>
  <c r="C30" i="32" l="1"/>
  <c r="C32" i="32"/>
  <c r="E16" i="32"/>
  <c r="E23" i="32"/>
  <c r="D23" i="32"/>
  <c r="V12" i="24" s="1"/>
  <c r="E21" i="32"/>
  <c r="E33" i="32" s="1"/>
  <c r="E17" i="32"/>
  <c r="E22" i="32"/>
  <c r="W14" i="24" s="1"/>
  <c r="AC19" i="25"/>
  <c r="AB19" i="25"/>
  <c r="AA19" i="25"/>
  <c r="AB14" i="25"/>
  <c r="AC14" i="25"/>
  <c r="AA14" i="25"/>
  <c r="AB11" i="25"/>
  <c r="AC11" i="25"/>
  <c r="AA11" i="25"/>
  <c r="AD18" i="25"/>
  <c r="AD10" i="25"/>
  <c r="C35" i="32" l="1"/>
  <c r="E32" i="32"/>
  <c r="AD11" i="25"/>
  <c r="F24" i="32"/>
  <c r="F33" i="32"/>
  <c r="F35" i="32" s="1"/>
  <c r="E31" i="32"/>
  <c r="E35" i="32" s="1"/>
  <c r="W15" i="24" s="1"/>
  <c r="W17" i="24" s="1"/>
  <c r="AD19" i="25"/>
  <c r="E24" i="32"/>
  <c r="AD14" i="25"/>
  <c r="AF11" i="25" l="1"/>
  <c r="T64" i="25"/>
  <c r="J8" i="49"/>
  <c r="H13" i="49"/>
  <c r="I13" i="49"/>
  <c r="G13" i="49" l="1"/>
  <c r="F13" i="49"/>
  <c r="E13" i="49"/>
  <c r="J7" i="49"/>
  <c r="E21" i="29"/>
  <c r="F18" i="29"/>
  <c r="H19" i="29"/>
  <c r="F20" i="29"/>
  <c r="J10" i="49"/>
  <c r="J11" i="49"/>
  <c r="J12" i="49"/>
  <c r="T16" i="22"/>
  <c r="D21" i="29" l="1"/>
  <c r="C21" i="29"/>
  <c r="D13" i="49"/>
  <c r="J9" i="49"/>
  <c r="J13" i="49" s="1"/>
  <c r="H20" i="29"/>
  <c r="G21" i="29"/>
  <c r="H18" i="29"/>
  <c r="H17" i="29"/>
  <c r="F21" i="29"/>
  <c r="F22" i="29" s="1"/>
  <c r="H21" i="29" l="1"/>
  <c r="W11" i="22"/>
  <c r="W12" i="22" s="1"/>
  <c r="W6" i="22"/>
  <c r="W10" i="22" s="1"/>
  <c r="D14" i="29"/>
  <c r="E14" i="29"/>
  <c r="F14" i="29"/>
  <c r="G14" i="29"/>
  <c r="H14" i="29"/>
  <c r="C14" i="29"/>
  <c r="D13" i="29"/>
  <c r="D16" i="29" s="1"/>
  <c r="E13" i="29"/>
  <c r="F13" i="29"/>
  <c r="G13" i="29"/>
  <c r="H13" i="29"/>
  <c r="C13" i="29"/>
  <c r="C16" i="29" l="1"/>
  <c r="C22" i="29" s="1"/>
  <c r="G16" i="29"/>
  <c r="G22" i="29" s="1"/>
  <c r="E16" i="29"/>
  <c r="D22" i="29"/>
  <c r="W13" i="22"/>
  <c r="W14" i="22" s="1"/>
  <c r="D16" i="32" s="1"/>
  <c r="D31" i="32" l="1"/>
  <c r="D35" i="32" s="1"/>
  <c r="V11" i="24"/>
  <c r="V17" i="24" s="1"/>
  <c r="D24" i="32"/>
  <c r="H16" i="29"/>
  <c r="H22" i="29"/>
  <c r="E16" i="46"/>
  <c r="E15" i="46"/>
  <c r="G8" i="44" l="1"/>
  <c r="E17" i="46"/>
  <c r="E19" i="46" s="1"/>
  <c r="D7" i="44" s="1"/>
  <c r="G11" i="44" l="1"/>
  <c r="T20" i="22"/>
  <c r="T22" i="22"/>
  <c r="C8" i="44" s="1"/>
  <c r="T23" i="22"/>
  <c r="C9" i="44" s="1"/>
  <c r="T24" i="22"/>
  <c r="C10" i="44" s="1"/>
  <c r="X42" i="25"/>
  <c r="X40" i="25"/>
  <c r="X39" i="25"/>
  <c r="X38" i="25"/>
  <c r="X37" i="25"/>
  <c r="X35" i="25"/>
  <c r="X34" i="25"/>
  <c r="X32" i="25"/>
  <c r="X19" i="25"/>
  <c r="T51" i="25"/>
  <c r="T67" i="25" s="1"/>
  <c r="W50" i="25"/>
  <c r="V50" i="25"/>
  <c r="U50" i="25"/>
  <c r="W49" i="25"/>
  <c r="V49" i="25"/>
  <c r="U49" i="25"/>
  <c r="W47" i="25"/>
  <c r="V47" i="25"/>
  <c r="U47" i="25"/>
  <c r="X47" i="25" s="1"/>
  <c r="V67" i="25" s="1"/>
  <c r="W46" i="25"/>
  <c r="V46" i="25"/>
  <c r="T43" i="25"/>
  <c r="T20" i="25"/>
  <c r="W27" i="25"/>
  <c r="V27" i="25"/>
  <c r="U27" i="25"/>
  <c r="W26" i="25"/>
  <c r="V26" i="25"/>
  <c r="U26" i="25"/>
  <c r="W23" i="25"/>
  <c r="V23" i="25"/>
  <c r="W24" i="25"/>
  <c r="V24" i="25"/>
  <c r="U24" i="25"/>
  <c r="X27" i="25" l="1"/>
  <c r="Y64" i="25" s="1"/>
  <c r="U67" i="25"/>
  <c r="X49" i="25"/>
  <c r="X67" i="25" s="1"/>
  <c r="X50" i="25"/>
  <c r="Y67" i="25" s="1"/>
  <c r="Y65" i="25" s="1"/>
  <c r="X23" i="25"/>
  <c r="W67" i="25"/>
  <c r="X26" i="25"/>
  <c r="X64" i="25" s="1"/>
  <c r="X65" i="25" s="1"/>
  <c r="X24" i="25"/>
  <c r="V64" i="25" s="1"/>
  <c r="V65" i="25" s="1"/>
  <c r="E8" i="44"/>
  <c r="H8" i="44" s="1"/>
  <c r="I8" i="44" s="1"/>
  <c r="E9" i="44"/>
  <c r="C6" i="44"/>
  <c r="I6" i="44" s="1"/>
  <c r="T25" i="22"/>
  <c r="C7" i="44"/>
  <c r="C24" i="32"/>
  <c r="W64" i="25"/>
  <c r="W66" i="25" l="1"/>
  <c r="F9" i="44"/>
  <c r="C11" i="44"/>
  <c r="D10" i="44"/>
  <c r="E7" i="44"/>
  <c r="L21" i="32"/>
  <c r="X12" i="24" s="1"/>
  <c r="K21" i="32"/>
  <c r="K24" i="32" s="1"/>
  <c r="X11" i="24" s="1"/>
  <c r="X17" i="24" l="1"/>
  <c r="H9" i="44"/>
  <c r="I9" i="44" s="1"/>
  <c r="F11" i="44"/>
  <c r="E11" i="44"/>
  <c r="H7" i="44"/>
  <c r="I7" i="44" s="1"/>
  <c r="H10" i="44"/>
  <c r="I10" i="44" s="1"/>
  <c r="D11" i="44"/>
  <c r="H11" i="44" l="1"/>
  <c r="I11" i="44" s="1"/>
</calcChain>
</file>

<file path=xl/sharedStrings.xml><?xml version="1.0" encoding="utf-8"?>
<sst xmlns="http://schemas.openxmlformats.org/spreadsheetml/2006/main" count="503" uniqueCount="244">
  <si>
    <t>Instructions</t>
  </si>
  <si>
    <t>Scenario:</t>
  </si>
  <si>
    <t>Welcome to New Seealand! The national statistical office has recently compiled ecosystem extent accounts for their very small country for 2015 - 2020. According to their account, they have 11 different ecosystem assets which are assigned to five different ecosystem functional groups (EFGs): annual croplands; tropical heath forests; inland water bodies; urban and industrial; and coastal river delta ecosystems. 
New Seealand officials would really like to know more about the health of their ecosystems and the services that are provided by them. Thus, they need your help in compiling ecosystem condition and services accounts.
N.B. For context, the ecosystem extent and change matrices are provided below. The extent maps can be found in Ex-2.</t>
  </si>
  <si>
    <t>Exercises:</t>
  </si>
  <si>
    <t>Exercise 2: Aggregate information on various condition variables into an index to provide information on improvements and reductions in condition.
Exercise 3: Compile a carbon account using the provided look-up table and extent account to assess opening and closing stocks of carbon. Calculate the net carbon balance for New Seealand due to managed and unmanaged additions and reductions. 
Exercise 4: Model an unknown crop service for a specific ecosystem asset, based on information provided on total crop yield and average rainfall.
Exercise 5: Estimate a ecosystem services supply account for crop provisioning, recreation, water provisioning and carbon sequestration services, using information from exercises 3 and 4. 
Exercise 6: Compile an ecosystem service use account for industries, household and government.
Exercise 7: Calculate resource rent for crop provisioning services using hypothetical data on sales, costs, rate of return, etc.
Exercise 8: Compile the ecosystem services supply account in monetary terms, using specific assumptions.</t>
  </si>
  <si>
    <t>Ecosystem extent account</t>
  </si>
  <si>
    <t>Urban and industrial</t>
  </si>
  <si>
    <t>Annual croplands</t>
  </si>
  <si>
    <t>Tropical heath forest</t>
  </si>
  <si>
    <t>Large lowland rivers</t>
  </si>
  <si>
    <t>Coastal river delta</t>
  </si>
  <si>
    <t>Other</t>
  </si>
  <si>
    <t>Total</t>
  </si>
  <si>
    <t>Opening Stock</t>
  </si>
  <si>
    <t xml:space="preserve">     Additions to Stock</t>
  </si>
  <si>
    <t xml:space="preserve">     Reductions in Stock</t>
  </si>
  <si>
    <t>Closing Stock</t>
  </si>
  <si>
    <t>Ecosystem Extent Change Matrix (hectares)</t>
  </si>
  <si>
    <t>Closing Extent</t>
  </si>
  <si>
    <t>Opening</t>
  </si>
  <si>
    <t>Opening Extent</t>
  </si>
  <si>
    <t>Closing</t>
  </si>
  <si>
    <t>Exercise 1: Calculate area of each EA (ecosystem asset) and ET (ecosystem type)</t>
  </si>
  <si>
    <t>Opening extent</t>
  </si>
  <si>
    <t>EA Table</t>
  </si>
  <si>
    <t>Yield</t>
  </si>
  <si>
    <t>Yield/ha</t>
  </si>
  <si>
    <t>EA</t>
  </si>
  <si>
    <t>ha</t>
  </si>
  <si>
    <t>Rainfall EA01</t>
  </si>
  <si>
    <t>EA01</t>
  </si>
  <si>
    <t>EA02</t>
  </si>
  <si>
    <t xml:space="preserve">EA01 = Annual croplands </t>
  </si>
  <si>
    <t>EA02 = Tropical heath forests</t>
  </si>
  <si>
    <t>Average EA01 (rainfall/ha)</t>
  </si>
  <si>
    <t>EA03 = Inland water bodies</t>
  </si>
  <si>
    <t xml:space="preserve">EA04 = Annual croplands </t>
  </si>
  <si>
    <t>Rainfall EA02</t>
  </si>
  <si>
    <t>EA04</t>
  </si>
  <si>
    <t>EA05 = Tropical heath forests</t>
  </si>
  <si>
    <t>EA06 = Urban and industrial</t>
  </si>
  <si>
    <t>Ratio rainfall</t>
  </si>
  <si>
    <t xml:space="preserve">EA07 = Urban and industrial </t>
  </si>
  <si>
    <t>Yield EA01</t>
  </si>
  <si>
    <t>EA05</t>
  </si>
  <si>
    <t>EA08 = Shrubs..regularly flooded (wetland)</t>
  </si>
  <si>
    <t xml:space="preserve">EA01: Yield/ha </t>
  </si>
  <si>
    <t>EA09 = Inland water bodies</t>
  </si>
  <si>
    <t>EA02: Yield/ha</t>
  </si>
  <si>
    <t>EA10 = Tropical heath forests</t>
  </si>
  <si>
    <t>Yield EA02</t>
  </si>
  <si>
    <t xml:space="preserve">EA11 = Annual croplands </t>
  </si>
  <si>
    <t>Summary Table</t>
  </si>
  <si>
    <t>EA10</t>
  </si>
  <si>
    <t>EA11</t>
  </si>
  <si>
    <t>ET (ecosystem type)</t>
  </si>
  <si>
    <t>Note: One BSU = 100m*100m =  1 ha</t>
  </si>
  <si>
    <t>Instructions:</t>
  </si>
  <si>
    <t>Step 1: Count the number of BSUs for each EA and fill-in the EA table</t>
  </si>
  <si>
    <t>Step 2: Summarize the extent by ETs in the summary table</t>
  </si>
  <si>
    <t>Closing extent</t>
  </si>
  <si>
    <t>Exercise 2: Compile an ecosystem extent change matrix</t>
  </si>
  <si>
    <t>Code</t>
  </si>
  <si>
    <t xml:space="preserve">Instructions: </t>
  </si>
  <si>
    <t>Step 1: Count the number of cells (hectares) for each EA that has changed its ecosystem type.</t>
  </si>
  <si>
    <t>Step 2: Enter the opening ecosystem extent from exercise 1 in the opening column in the table below.</t>
  </si>
  <si>
    <t xml:space="preserve">Step 3: Enter the closing ecosystem extent in the closing row in the table below. </t>
  </si>
  <si>
    <t>Step 4: Record all changes in extent from one ET to another (tip – the diagonal are cells that remain unchanged)</t>
  </si>
  <si>
    <t xml:space="preserve">Step 5: Check your answer by summing across columns and rows to get the correct totals. </t>
  </si>
  <si>
    <t>Exercise 3: Compile an ecosystem extent account</t>
  </si>
  <si>
    <t>Exercise 2a: Calculate improvements and reductions in condition</t>
  </si>
  <si>
    <t>Step 1: Transfer the condition measures from the map to the Condition Table for EA02, EA05, EA07 and EA10.</t>
  </si>
  <si>
    <t>Step 2: Calculate the Index for the missing EAs, i.e., (V+B+W)/3</t>
  </si>
  <si>
    <t xml:space="preserve">Step 3: Calculate the averaged condition measure by multiplying condition index * extent for each missing EA; sum them and divide by total extent). Calculate the index for the ET. </t>
  </si>
  <si>
    <t>(Opening Conditions)</t>
  </si>
  <si>
    <t>Condition Table</t>
  </si>
  <si>
    <t>Extent (ha)</t>
  </si>
  <si>
    <t>(V) Vegetation (e.g. SOC)</t>
  </si>
  <si>
    <t>(B) Biodiversity (species richness)</t>
  </si>
  <si>
    <t>(W)
Water (e.g. BOD)</t>
  </si>
  <si>
    <t>Index</t>
  </si>
  <si>
    <t>=(V+B+W)/3</t>
  </si>
  <si>
    <t>(V1=6, B1=7, W1=6)</t>
  </si>
  <si>
    <t>EA03 = Large lowland rivers</t>
  </si>
  <si>
    <t>EA08 = Coastal river delta</t>
  </si>
  <si>
    <t>(V2=6,</t>
  </si>
  <si>
    <t>EA09 = Large lowland rivers</t>
  </si>
  <si>
    <t>B2=7</t>
  </si>
  <si>
    <t>W2=5)</t>
  </si>
  <si>
    <t>Ecosystem Type</t>
  </si>
  <si>
    <t>Extent (BSU)</t>
  </si>
  <si>
    <t>Vegetation</t>
  </si>
  <si>
    <t>Biodiversity</t>
  </si>
  <si>
    <t>Water</t>
  </si>
  <si>
    <t>(V3=4, B3=6, W3=4)</t>
  </si>
  <si>
    <t>(Closing Conditions)</t>
  </si>
  <si>
    <t>(V1=5, B1=6, W1=6)</t>
  </si>
  <si>
    <t>B2=6</t>
  </si>
  <si>
    <t>(V3=5, B3=6, W3=5)</t>
  </si>
  <si>
    <t>Exercise 2b: Compile a condition account</t>
  </si>
  <si>
    <t>Step 1: Repeat the calculations for the opening condition for the closing condition. NB: for sake of simplicity, we assume that the extent did not change during the accounting period.</t>
  </si>
  <si>
    <t>Step 2: Transfer the values for Opening and Closing Conditions to the appropriate row of the Condition Account.</t>
  </si>
  <si>
    <t>Step 3: Calculate difference between Opening and Closing Conditions (Closing - Opening)</t>
  </si>
  <si>
    <t>Step 4: Record Improvements (positive values) in the Improvements row</t>
  </si>
  <si>
    <t>Step 5: Record reductions (negative values) in the Reductions row</t>
  </si>
  <si>
    <t>Condition  Account</t>
  </si>
  <si>
    <t>Opening Conditions</t>
  </si>
  <si>
    <t xml:space="preserve">     Improvements in condition</t>
  </si>
  <si>
    <t xml:space="preserve">     Reductions in condition</t>
  </si>
  <si>
    <t>Closing Conditions</t>
  </si>
  <si>
    <t>Look up table</t>
  </si>
  <si>
    <t>Carbon storage (tC/ha)</t>
  </si>
  <si>
    <t>Carbon uptake by biomass (tC/ha)</t>
  </si>
  <si>
    <t>Opening carbon stock</t>
  </si>
  <si>
    <t>Artificial surfaces</t>
  </si>
  <si>
    <t>Crops</t>
  </si>
  <si>
    <t>Grassland</t>
  </si>
  <si>
    <t>Tree covered area</t>
  </si>
  <si>
    <t>Mangroves</t>
  </si>
  <si>
    <t>Shrub covered area</t>
  </si>
  <si>
    <t>Regularly flooded areas</t>
  </si>
  <si>
    <t>Sparse natural vegetated areas</t>
  </si>
  <si>
    <t xml:space="preserve">Terrestrial barren land </t>
  </si>
  <si>
    <t>Permanent snow, glaciers and inland water bodies</t>
  </si>
  <si>
    <t>Closing carbon stock</t>
  </si>
  <si>
    <t>forest fire</t>
  </si>
  <si>
    <t>when does conversion take place?</t>
  </si>
  <si>
    <t>how long doe sit take to convert (not instanteneous)</t>
  </si>
  <si>
    <t>blue carbon</t>
  </si>
  <si>
    <t>NECP (role fo crops)</t>
  </si>
  <si>
    <t xml:space="preserve">Exercise 3: Compile a carbon account </t>
  </si>
  <si>
    <t>Step 1 – Use the look-up table and the extent account to assess opening stocks of carbon</t>
  </si>
  <si>
    <t>Step 2 – Use the look-up table and the extent change matrix to assess carbon uptake by biomass (i.e. assume that carbon uptake is only taking place in cells that are not converted from one ET to another)</t>
  </si>
  <si>
    <t xml:space="preserve">Step 3 – For all converted areas make the assumption that the conversion takes place completely during the accounting period (e.g. the change in carbon stocks from forest to crops is 200-40 = 160). </t>
  </si>
  <si>
    <t>Step 4 – Assume a forest fire takes place in EA02 that reduced the stocks from 215 to 25 for 4 BSUs.</t>
  </si>
  <si>
    <t>Step 5 – Calculate the net changes. These net changes are called NECB (net ecosystem carbon balance – which is the metric proposed (aligned with IPCC guidelines) to estimate carbon sequestration.</t>
  </si>
  <si>
    <t>Step 6 – Calculate the closing stocks.</t>
  </si>
  <si>
    <t>Simplified Carbon Stock Account</t>
  </si>
  <si>
    <t>Opening extent (ha)</t>
  </si>
  <si>
    <t>Closing extent (ha)</t>
  </si>
  <si>
    <t xml:space="preserve">     Opening</t>
  </si>
  <si>
    <t xml:space="preserve">      Addition - carbon uptake by biomass</t>
  </si>
  <si>
    <t xml:space="preserve">      Addition - conversion</t>
  </si>
  <si>
    <t xml:space="preserve">      Reduction - forest fire</t>
  </si>
  <si>
    <t xml:space="preserve">      Reduction - conversion</t>
  </si>
  <si>
    <t xml:space="preserve">          Net Ecosystem Carbon Balance (NECB)</t>
  </si>
  <si>
    <t xml:space="preserve">     Closing</t>
  </si>
  <si>
    <t>Exercise 4: Model unknown crop service for EA04</t>
  </si>
  <si>
    <t>Assume that the total crop yield in EA01 was 18,700 tons/year.</t>
  </si>
  <si>
    <t>Step 1: Calculate average rainfall for EA01 taking into consideration that EA01 spreads across 2 rainfall zones.</t>
  </si>
  <si>
    <t>Step 2: Calculate yield per ha for EA01</t>
  </si>
  <si>
    <t>Step 3: Calculate yield per ha for EA04 based on the biophysical model</t>
  </si>
  <si>
    <t>Step 4: Aggregate across whole extent of EA04.</t>
  </si>
  <si>
    <t>Rainfall EA04</t>
  </si>
  <si>
    <t>EA04: Yield/ha</t>
  </si>
  <si>
    <t>Yield EA04</t>
  </si>
  <si>
    <t>Exercise 5: Estimate unknown ecosystem services and supply account</t>
  </si>
  <si>
    <t>The objective is to fill out all empty cells in the service supply table.</t>
  </si>
  <si>
    <t>Step 1: use information from the carbon account to fill out the information on carbon sequestration.</t>
  </si>
  <si>
    <t>Step 2: fill out the information on crop supply for EA04 (orange cell) from exercise 7 above.</t>
  </si>
  <si>
    <t>Step 3: estimate the remaining values from nearest neighbour for (C), (R) and (W) for the missing EAs; e.g., Crop for EA11 = Crop for EA01 / 80 * 28.</t>
  </si>
  <si>
    <t>Step 4: Calculate totals for each service</t>
  </si>
  <si>
    <t>Step 5: Aggregate the results by ET in the table below.</t>
  </si>
  <si>
    <t>Services Supply Table</t>
  </si>
  <si>
    <t>EU</t>
  </si>
  <si>
    <t xml:space="preserve"> (C)
Crop</t>
  </si>
  <si>
    <t>(R) Recreation</t>
  </si>
  <si>
    <t>(W)
Water</t>
  </si>
  <si>
    <t>(S) Carbon Sequestration</t>
  </si>
  <si>
    <t>tonnes/year</t>
  </si>
  <si>
    <t>trips/year</t>
  </si>
  <si>
    <r>
      <t>m</t>
    </r>
    <r>
      <rPr>
        <vertAlign val="superscript"/>
        <sz val="11"/>
        <rFont val="Calibri"/>
        <family val="2"/>
      </rPr>
      <t>3</t>
    </r>
    <r>
      <rPr>
        <sz val="11"/>
        <rFont val="Calibri"/>
        <family val="2"/>
      </rPr>
      <t>/year</t>
    </r>
  </si>
  <si>
    <t>tonnes
/year</t>
  </si>
  <si>
    <t>EA01 = Annual croplands</t>
  </si>
  <si>
    <t>EA02 = Tropical heath forest</t>
  </si>
  <si>
    <t>EA04 = Annual croplands</t>
  </si>
  <si>
    <t>EA05 = Tropical heath forest</t>
  </si>
  <si>
    <t>EA07 = Urban and industrial</t>
  </si>
  <si>
    <t>EA10 = Tropical heath forest</t>
  </si>
  <si>
    <t>EA11 = Annual croplands</t>
  </si>
  <si>
    <t>Services Supply Account</t>
  </si>
  <si>
    <t>EU Type</t>
  </si>
  <si>
    <t xml:space="preserve"> (C ) Crop</t>
  </si>
  <si>
    <t>(W) Water</t>
  </si>
  <si>
    <t>Tonnes</t>
  </si>
  <si>
    <t>Trips</t>
  </si>
  <si>
    <r>
      <t>m</t>
    </r>
    <r>
      <rPr>
        <vertAlign val="superscript"/>
        <sz val="11"/>
        <color theme="1"/>
        <rFont val="Calibri"/>
        <family val="2"/>
      </rPr>
      <t>3</t>
    </r>
  </si>
  <si>
    <t>tonnes</t>
  </si>
  <si>
    <t>Exercise 6: Compile ecosystem service use account</t>
  </si>
  <si>
    <r>
      <t>·</t>
    </r>
    <r>
      <rPr>
        <sz val="11"/>
        <color theme="1"/>
        <rFont val="Calibri"/>
        <family val="2"/>
        <scheme val="minor"/>
      </rPr>
      <t xml:space="preserve">        Assume that all visits to the forest EA10 (i.e. </t>
    </r>
    <r>
      <rPr>
        <sz val="11"/>
        <color rgb="FF000000"/>
        <rFont val="Calibri"/>
        <family val="2"/>
        <scheme val="minor"/>
      </rPr>
      <t xml:space="preserve">D) </t>
    </r>
    <r>
      <rPr>
        <sz val="11"/>
        <color theme="1"/>
        <rFont val="Calibri"/>
        <family val="2"/>
        <scheme val="minor"/>
      </rPr>
      <t>are for a campsite</t>
    </r>
  </si>
  <si>
    <r>
      <t>·</t>
    </r>
    <r>
      <rPr>
        <sz val="11"/>
        <color theme="1"/>
        <rFont val="Calibri"/>
        <family val="2"/>
        <scheme val="minor"/>
      </rPr>
      <t>        Water use allocation percentages are indicated in the figure above.</t>
    </r>
  </si>
  <si>
    <r>
      <t>·</t>
    </r>
    <r>
      <rPr>
        <sz val="11"/>
        <color theme="1"/>
        <rFont val="Calibri"/>
        <family val="2"/>
        <scheme val="minor"/>
      </rPr>
      <t>        Check your answer as supply needs to equal use (for each individual ecosystem service)!</t>
    </r>
  </si>
  <si>
    <t xml:space="preserve">Beneficiaries </t>
  </si>
  <si>
    <t>Services Use Account</t>
  </si>
  <si>
    <t>Beneficiaries (based on survey)</t>
  </si>
  <si>
    <t>C</t>
  </si>
  <si>
    <r>
      <t>m</t>
    </r>
    <r>
      <rPr>
        <vertAlign val="superscript"/>
        <sz val="11"/>
        <color theme="1"/>
        <rFont val="Calibri"/>
        <family val="2"/>
        <scheme val="minor"/>
      </rPr>
      <t>3</t>
    </r>
  </si>
  <si>
    <t>A</t>
  </si>
  <si>
    <t>Agriculture - cereals</t>
  </si>
  <si>
    <t>Agriculture - other</t>
  </si>
  <si>
    <t>Water supply sector</t>
  </si>
  <si>
    <t>Recreation</t>
  </si>
  <si>
    <t>Households</t>
  </si>
  <si>
    <t>Government</t>
  </si>
  <si>
    <t>E</t>
  </si>
  <si>
    <t>D</t>
  </si>
  <si>
    <t>B</t>
  </si>
  <si>
    <t>Economic units</t>
  </si>
  <si>
    <t>ISIC - Classification of economic activities</t>
  </si>
  <si>
    <t>0111 - Growing of cereals (except rice), leguminous crops and oil seeds</t>
  </si>
  <si>
    <t>Other agriculture</t>
  </si>
  <si>
    <t>0113 - Growing of vegetables and melons, roots and tubers</t>
  </si>
  <si>
    <t>5520 - Camping grounds, recreational vehicle parks and trailer parks</t>
  </si>
  <si>
    <t>36 - Water collection, treatment and supply</t>
  </si>
  <si>
    <t>F</t>
  </si>
  <si>
    <t>G</t>
  </si>
  <si>
    <t>Exercise 7: Calculate resource rent for crop provisioning</t>
  </si>
  <si>
    <t>Estimate the resource rent for crop provisioning services for a hypothetical farm using the following data:</t>
  </si>
  <si>
    <t xml:space="preserve">•Sales: </t>
  </si>
  <si>
    <t xml:space="preserve">•Costs of seeds, fertilizers  </t>
  </si>
  <si>
    <t xml:space="preserve">•Wages: </t>
  </si>
  <si>
    <t xml:space="preserve">•Value of machinery  </t>
  </si>
  <si>
    <t xml:space="preserve">•remaining lifetime </t>
  </si>
  <si>
    <t>10 years</t>
  </si>
  <si>
    <t>•Rate of return</t>
  </si>
  <si>
    <t xml:space="preserve">•Investment: </t>
  </si>
  <si>
    <t>user cost of capital</t>
  </si>
  <si>
    <t>value added</t>
  </si>
  <si>
    <t>return on human capital</t>
  </si>
  <si>
    <t>operating surplus</t>
  </si>
  <si>
    <t>Resource rent</t>
  </si>
  <si>
    <t>thousands $</t>
  </si>
  <si>
    <t xml:space="preserve">Exercise 8: Compile the ecosystem services supply account in monetary terms </t>
  </si>
  <si>
    <t>Services Supply Account (monetary)</t>
  </si>
  <si>
    <t>per ha</t>
  </si>
  <si>
    <t>$</t>
  </si>
  <si>
    <t>$/ha</t>
  </si>
  <si>
    <t xml:space="preserve">Assumptions: </t>
  </si>
  <si>
    <t xml:space="preserve">Water supply service has been estimated using a replacement cost approach. If river falls dry the cost of pumping groundwater: </t>
  </si>
  <si>
    <t xml:space="preserve"> USD/litre</t>
  </si>
  <si>
    <t xml:space="preserve">For valuing carbon sequestration use the social cost of carbon (SCC) of </t>
  </si>
  <si>
    <t>USD/tC</t>
  </si>
  <si>
    <t>Recreation: assume the travel cost approach has found a price of:</t>
  </si>
  <si>
    <t>USD per visit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</si>
</sst>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0.0"/>
    <numFmt numFmtId="166" formatCode="_-* #,##0_-;\-* #,##0_-;_-* &quot;-&quot;??_-;_-@_-"/>
    <numFmt numFmtId="167" formatCode="0_ ;\-0\ "/>
    <numFmt numFmtId="168" formatCode="#,##0.0"/>
    <numFmt numFmtId="169" formatCode="#,##0.00_ ;\-#,##0.00\ "/>
    <numFmt numFmtId="170" formatCode="_(* #,##0_);_(* \(#,##0\);_(* &quot;-&quot;??_);_(@_)"/>
  </numFmts>
  <fonts count="33">
    <font>
      <sz val="11"/>
      <color theme="1"/>
      <name val="Calibri"/>
      <family val="2"/>
      <scheme val="minor"/>
    </font>
    <font>
      <sz val="11"/>
      <name val="Calibri"/>
      <family val="2"/>
      <scheme val="minor"/>
    </font>
    <font>
      <b/>
      <sz val="12"/>
      <name val="Calibri"/>
      <family val="2"/>
      <scheme val="minor"/>
    </font>
    <font>
      <sz val="10"/>
      <name val="Calibri"/>
      <family val="2"/>
      <scheme val="minor"/>
    </font>
    <font>
      <sz val="11"/>
      <color theme="1"/>
      <name val="Calibri"/>
      <family val="2"/>
      <scheme val="minor"/>
    </font>
    <font>
      <b/>
      <sz val="11"/>
      <color theme="1"/>
      <name val="Calibri"/>
      <family val="2"/>
      <scheme val="minor"/>
    </font>
    <font>
      <sz val="12"/>
      <name val="Calibri"/>
      <family val="2"/>
      <scheme val="minor"/>
    </font>
    <font>
      <b/>
      <sz val="11"/>
      <name val="Calibri"/>
      <family val="2"/>
      <scheme val="minor"/>
    </font>
    <font>
      <b/>
      <sz val="10"/>
      <name val="Calibri"/>
      <family val="2"/>
      <scheme val="minor"/>
    </font>
    <font>
      <u/>
      <sz val="11"/>
      <color theme="10"/>
      <name val="Calibri"/>
      <family val="2"/>
      <scheme val="minor"/>
    </font>
    <font>
      <i/>
      <sz val="11"/>
      <name val="Calibri"/>
      <family val="2"/>
      <scheme val="minor"/>
    </font>
    <font>
      <b/>
      <i/>
      <sz val="11"/>
      <name val="Calibri"/>
      <family val="2"/>
      <scheme val="minor"/>
    </font>
    <font>
      <b/>
      <u/>
      <sz val="11"/>
      <name val="Calibri"/>
      <family val="2"/>
      <scheme val="minor"/>
    </font>
    <font>
      <vertAlign val="superscript"/>
      <sz val="11"/>
      <color theme="1"/>
      <name val="Calibri"/>
      <family val="2"/>
      <scheme val="minor"/>
    </font>
    <font>
      <b/>
      <sz val="12"/>
      <color theme="1"/>
      <name val="Calibri"/>
      <family val="2"/>
      <scheme val="minor"/>
    </font>
    <font>
      <sz val="11"/>
      <color theme="1"/>
      <name val="Calibri"/>
      <family val="2"/>
    </font>
    <font>
      <u/>
      <sz val="11"/>
      <color theme="1"/>
      <name val="Calibri"/>
      <family val="2"/>
    </font>
    <font>
      <b/>
      <sz val="11"/>
      <color theme="1"/>
      <name val="Calibri"/>
      <family val="2"/>
    </font>
    <font>
      <u/>
      <sz val="11"/>
      <color theme="1"/>
      <name val="Calibri"/>
      <family val="2"/>
      <scheme val="minor"/>
    </font>
    <font>
      <sz val="11"/>
      <color rgb="FF000000"/>
      <name val="Calibri"/>
      <family val="2"/>
      <scheme val="minor"/>
    </font>
    <font>
      <b/>
      <sz val="11"/>
      <name val="Calibri"/>
      <family val="2"/>
    </font>
    <font>
      <sz val="11"/>
      <name val="Calibri"/>
      <family val="2"/>
    </font>
    <font>
      <vertAlign val="superscript"/>
      <sz val="11"/>
      <name val="Calibri"/>
      <family val="2"/>
    </font>
    <font>
      <vertAlign val="superscript"/>
      <sz val="11"/>
      <color theme="1"/>
      <name val="Calibri"/>
      <family val="2"/>
    </font>
    <font>
      <i/>
      <sz val="11"/>
      <name val="Calibri"/>
      <family val="2"/>
    </font>
    <font>
      <b/>
      <i/>
      <sz val="11"/>
      <name val="Calibri"/>
      <family val="2"/>
    </font>
    <font>
      <sz val="11"/>
      <color theme="0"/>
      <name val="Calibri"/>
      <family val="2"/>
      <scheme val="minor"/>
    </font>
    <font>
      <sz val="14"/>
      <name val="Calibri"/>
      <family val="2"/>
    </font>
    <font>
      <b/>
      <sz val="15"/>
      <name val="Calibri"/>
      <family val="2"/>
      <scheme val="minor"/>
    </font>
    <font>
      <b/>
      <sz val="18"/>
      <name val="Calibri"/>
      <family val="2"/>
    </font>
    <font>
      <b/>
      <sz val="16"/>
      <color theme="1"/>
      <name val="Calibri"/>
      <family val="2"/>
    </font>
    <font>
      <b/>
      <sz val="16"/>
      <color theme="1"/>
      <name val="Calibri"/>
      <family val="2"/>
      <scheme val="minor"/>
    </font>
    <font>
      <sz val="16"/>
      <name val="Calibri"/>
      <family val="2"/>
      <scheme val="minor"/>
    </font>
  </fonts>
  <fills count="21">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lightGrid">
        <fgColor theme="5" tint="0.59996337778862885"/>
        <bgColor theme="5" tint="0.79998168889431442"/>
      </patternFill>
    </fill>
    <fill>
      <patternFill patternType="solid">
        <fgColor theme="6" tint="0.59996337778862885"/>
        <bgColor indexed="64"/>
      </patternFill>
    </fill>
    <fill>
      <patternFill patternType="solid">
        <fgColor theme="9" tint="0.39994506668294322"/>
        <bgColor indexed="64"/>
      </patternFill>
    </fill>
    <fill>
      <patternFill patternType="solid">
        <fgColor theme="4" tint="0.79998168889431442"/>
        <bgColor indexed="64"/>
      </patternFill>
    </fill>
    <fill>
      <patternFill patternType="lightGrid">
        <fgColor theme="5" tint="0.59996337778862885"/>
        <bgColor theme="5" tint="0.79995117038483843"/>
      </patternFill>
    </fill>
    <fill>
      <patternFill patternType="solid">
        <fgColor theme="3" tint="0.59996337778862885"/>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1" tint="0.34998626667073579"/>
        <bgColor indexed="64"/>
      </patternFill>
    </fill>
    <fill>
      <patternFill patternType="lightGrid">
        <fgColor theme="5" tint="0.59996337778862885"/>
        <bgColor theme="2" tint="-0.499984740745262"/>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s>
  <borders count="58">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ck">
        <color auto="1"/>
      </left>
      <right style="hair">
        <color indexed="64"/>
      </right>
      <top style="thick">
        <color auto="1"/>
      </top>
      <bottom style="hair">
        <color indexed="64"/>
      </bottom>
      <diagonal/>
    </border>
    <border>
      <left style="hair">
        <color indexed="64"/>
      </left>
      <right style="hair">
        <color indexed="64"/>
      </right>
      <top style="thick">
        <color auto="1"/>
      </top>
      <bottom style="hair">
        <color indexed="64"/>
      </bottom>
      <diagonal/>
    </border>
    <border>
      <left style="hair">
        <color indexed="64"/>
      </left>
      <right style="thick">
        <color auto="1"/>
      </right>
      <top style="thick">
        <color auto="1"/>
      </top>
      <bottom style="hair">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style="hair">
        <color indexed="64"/>
      </top>
      <bottom style="hair">
        <color indexed="64"/>
      </bottom>
      <diagonal/>
    </border>
    <border>
      <left style="thick">
        <color auto="1"/>
      </left>
      <right style="hair">
        <color indexed="64"/>
      </right>
      <top style="hair">
        <color indexed="64"/>
      </top>
      <bottom style="thick">
        <color auto="1"/>
      </bottom>
      <diagonal/>
    </border>
    <border>
      <left style="hair">
        <color indexed="64"/>
      </left>
      <right style="hair">
        <color indexed="64"/>
      </right>
      <top style="hair">
        <color indexed="64"/>
      </top>
      <bottom style="thick">
        <color auto="1"/>
      </bottom>
      <diagonal/>
    </border>
    <border>
      <left style="hair">
        <color indexed="64"/>
      </left>
      <right/>
      <top style="hair">
        <color indexed="64"/>
      </top>
      <bottom style="thick">
        <color auto="1"/>
      </bottom>
      <diagonal/>
    </border>
    <border>
      <left style="hair">
        <color indexed="64"/>
      </left>
      <right style="thick">
        <color auto="1"/>
      </right>
      <top style="hair">
        <color indexed="64"/>
      </top>
      <bottom style="thick">
        <color auto="1"/>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hair">
        <color indexed="64"/>
      </left>
      <right style="thick">
        <color auto="1"/>
      </right>
      <top style="hair">
        <color indexed="64"/>
      </top>
      <bottom/>
      <diagonal/>
    </border>
    <border>
      <left style="hair">
        <color indexed="64"/>
      </left>
      <right style="thick">
        <color auto="1"/>
      </right>
      <top/>
      <bottom style="hair">
        <color indexed="64"/>
      </bottom>
      <diagonal/>
    </border>
    <border>
      <left style="hair">
        <color indexed="64"/>
      </left>
      <right/>
      <top/>
      <bottom style="hair">
        <color indexed="64"/>
      </bottom>
      <diagonal/>
    </border>
    <border>
      <left style="hair">
        <color indexed="64"/>
      </left>
      <right style="thick">
        <color auto="1"/>
      </right>
      <top style="medium">
        <color theme="9" tint="-0.24994659260841701"/>
      </top>
      <bottom style="hair">
        <color indexed="64"/>
      </bottom>
      <diagonal/>
    </border>
    <border>
      <left style="hair">
        <color indexed="64"/>
      </left>
      <right style="thick">
        <color auto="1"/>
      </right>
      <top style="hair">
        <color indexed="64"/>
      </top>
      <bottom style="medium">
        <color theme="9" tint="-0.24994659260841701"/>
      </bottom>
      <diagonal/>
    </border>
    <border>
      <left/>
      <right style="hair">
        <color indexed="64"/>
      </right>
      <top style="thick">
        <color auto="1"/>
      </top>
      <bottom style="hair">
        <color indexed="64"/>
      </bottom>
      <diagonal/>
    </border>
    <border>
      <left/>
      <right style="hair">
        <color indexed="64"/>
      </right>
      <top style="hair">
        <color indexed="64"/>
      </top>
      <bottom/>
      <diagonal/>
    </border>
    <border>
      <left style="thick">
        <color theme="9" tint="-0.24994659260841701"/>
      </left>
      <right style="hair">
        <color indexed="64"/>
      </right>
      <top style="hair">
        <color indexed="64"/>
      </top>
      <bottom style="thick">
        <color theme="9" tint="-0.24994659260841701"/>
      </bottom>
      <diagonal/>
    </border>
    <border>
      <left style="thick">
        <color auto="1"/>
      </left>
      <right style="hair">
        <color indexed="64"/>
      </right>
      <top style="hair">
        <color indexed="64"/>
      </top>
      <bottom style="thick">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164" fontId="4" fillId="0" borderId="0" applyFont="0" applyFill="0" applyBorder="0" applyAlignment="0" applyProtection="0"/>
    <xf numFmtId="0" fontId="9" fillId="0" borderId="0" applyNumberFormat="0" applyFill="0" applyBorder="0" applyAlignment="0" applyProtection="0"/>
    <xf numFmtId="9" fontId="4" fillId="0" borderId="0" applyFont="0" applyFill="0" applyBorder="0" applyAlignment="0" applyProtection="0"/>
  </cellStyleXfs>
  <cellXfs count="380">
    <xf numFmtId="0" fontId="0" fillId="0" borderId="0" xfId="0"/>
    <xf numFmtId="0" fontId="2" fillId="6" borderId="1" xfId="0" applyFont="1" applyFill="1" applyBorder="1"/>
    <xf numFmtId="0" fontId="2" fillId="0" borderId="0" xfId="0" applyFont="1"/>
    <xf numFmtId="0" fontId="1" fillId="0" borderId="0" xfId="0" applyFont="1"/>
    <xf numFmtId="0" fontId="2" fillId="2" borderId="1" xfId="0" applyFont="1" applyFill="1" applyBorder="1"/>
    <xf numFmtId="0" fontId="2" fillId="4" borderId="1" xfId="0" applyFont="1" applyFill="1" applyBorder="1"/>
    <xf numFmtId="0" fontId="2" fillId="4" borderId="9" xfId="0" applyFont="1" applyFill="1" applyBorder="1"/>
    <xf numFmtId="0" fontId="2" fillId="3" borderId="1" xfId="0" applyFont="1" applyFill="1" applyBorder="1"/>
    <xf numFmtId="0" fontId="2" fillId="4" borderId="6" xfId="0" applyFont="1" applyFill="1" applyBorder="1"/>
    <xf numFmtId="0" fontId="2" fillId="4" borderId="7" xfId="0" applyFont="1" applyFill="1" applyBorder="1"/>
    <xf numFmtId="0" fontId="2" fillId="2" borderId="7" xfId="0" applyFont="1" applyFill="1" applyBorder="1"/>
    <xf numFmtId="0" fontId="2" fillId="2" borderId="8" xfId="0" applyFont="1" applyFill="1" applyBorder="1"/>
    <xf numFmtId="0" fontId="2" fillId="2" borderId="10" xfId="0" applyFont="1" applyFill="1" applyBorder="1"/>
    <xf numFmtId="0" fontId="2" fillId="4" borderId="10" xfId="0" applyFont="1" applyFill="1" applyBorder="1"/>
    <xf numFmtId="0" fontId="2" fillId="4" borderId="0" xfId="0" applyFont="1" applyFill="1"/>
    <xf numFmtId="0" fontId="2" fillId="3" borderId="10" xfId="0" applyFont="1" applyFill="1" applyBorder="1"/>
    <xf numFmtId="0" fontId="2" fillId="2" borderId="9" xfId="0" applyFont="1" applyFill="1" applyBorder="1"/>
    <xf numFmtId="0" fontId="2" fillId="2" borderId="4" xfId="0" applyFont="1" applyFill="1" applyBorder="1"/>
    <xf numFmtId="0" fontId="2" fillId="4" borderId="2" xfId="0" applyFont="1" applyFill="1" applyBorder="1"/>
    <xf numFmtId="0" fontId="2" fillId="4" borderId="5" xfId="0" applyFont="1" applyFill="1" applyBorder="1"/>
    <xf numFmtId="0" fontId="2" fillId="4" borderId="14" xfId="0" applyFont="1" applyFill="1" applyBorder="1"/>
    <xf numFmtId="0" fontId="2" fillId="2" borderId="3" xfId="0" applyFont="1" applyFill="1" applyBorder="1"/>
    <xf numFmtId="0" fontId="2" fillId="4" borderId="4" xfId="0" applyFont="1" applyFill="1" applyBorder="1"/>
    <xf numFmtId="0" fontId="2" fillId="0" borderId="15" xfId="0" applyFont="1" applyBorder="1"/>
    <xf numFmtId="0" fontId="2" fillId="0" borderId="16" xfId="0" applyFont="1" applyBorder="1"/>
    <xf numFmtId="0" fontId="2" fillId="0" borderId="17" xfId="0" applyFont="1" applyBorder="1"/>
    <xf numFmtId="0" fontId="2" fillId="2" borderId="11" xfId="0" applyFont="1" applyFill="1" applyBorder="1"/>
    <xf numFmtId="0" fontId="2" fillId="2" borderId="12" xfId="0" applyFont="1" applyFill="1" applyBorder="1"/>
    <xf numFmtId="0" fontId="2" fillId="4" borderId="12" xfId="0" applyFont="1" applyFill="1" applyBorder="1"/>
    <xf numFmtId="0" fontId="2" fillId="4" borderId="13" xfId="0" applyFont="1" applyFill="1" applyBorder="1"/>
    <xf numFmtId="0" fontId="3" fillId="4" borderId="7" xfId="0" applyFont="1" applyFill="1" applyBorder="1"/>
    <xf numFmtId="0" fontId="6" fillId="0" borderId="0" xfId="0" applyFont="1" applyAlignment="1">
      <alignment horizontal="right"/>
    </xf>
    <xf numFmtId="0" fontId="8" fillId="4" borderId="6" xfId="0" applyFont="1" applyFill="1" applyBorder="1"/>
    <xf numFmtId="0" fontId="2" fillId="6" borderId="4" xfId="0" applyFont="1" applyFill="1" applyBorder="1"/>
    <xf numFmtId="0" fontId="5" fillId="0" borderId="0" xfId="0" applyFont="1"/>
    <xf numFmtId="0" fontId="7" fillId="0" borderId="35" xfId="0" applyFont="1" applyBorder="1"/>
    <xf numFmtId="164" fontId="7" fillId="0" borderId="37" xfId="1" applyFont="1" applyFill="1" applyBorder="1"/>
    <xf numFmtId="164" fontId="7" fillId="0" borderId="35" xfId="1" applyFont="1" applyFill="1" applyBorder="1"/>
    <xf numFmtId="164" fontId="1" fillId="0" borderId="36" xfId="1" applyFont="1" applyFill="1" applyBorder="1"/>
    <xf numFmtId="164" fontId="1" fillId="0" borderId="37" xfId="1" applyFont="1" applyFill="1" applyBorder="1"/>
    <xf numFmtId="164" fontId="1" fillId="0" borderId="33" xfId="1" applyFont="1" applyBorder="1"/>
    <xf numFmtId="164" fontId="1" fillId="0" borderId="27" xfId="1" applyFont="1" applyBorder="1"/>
    <xf numFmtId="164" fontId="1" fillId="0" borderId="39" xfId="1" applyFont="1" applyBorder="1"/>
    <xf numFmtId="164" fontId="1" fillId="0" borderId="30" xfId="1" applyFont="1" applyBorder="1"/>
    <xf numFmtId="164" fontId="1" fillId="0" borderId="33" xfId="1" applyFont="1" applyFill="1" applyBorder="1"/>
    <xf numFmtId="164" fontId="7" fillId="0" borderId="37" xfId="1" applyFont="1" applyBorder="1"/>
    <xf numFmtId="164" fontId="7" fillId="0" borderId="35" xfId="1" applyFont="1" applyBorder="1"/>
    <xf numFmtId="164" fontId="1" fillId="0" borderId="36" xfId="1" applyFont="1" applyBorder="1"/>
    <xf numFmtId="164" fontId="1" fillId="0" borderId="37" xfId="1" applyFont="1" applyBorder="1"/>
    <xf numFmtId="164" fontId="1" fillId="0" borderId="0" xfId="1" applyFont="1"/>
    <xf numFmtId="0" fontId="1" fillId="0" borderId="37" xfId="0" applyFont="1" applyBorder="1" applyAlignment="1">
      <alignment horizontal="right" wrapText="1"/>
    </xf>
    <xf numFmtId="0" fontId="1" fillId="0" borderId="35" xfId="0" applyFont="1" applyBorder="1" applyAlignment="1">
      <alignment horizontal="right" wrapText="1"/>
    </xf>
    <xf numFmtId="0" fontId="1" fillId="0" borderId="36" xfId="0" applyFont="1" applyBorder="1" applyAlignment="1">
      <alignment horizontal="right"/>
    </xf>
    <xf numFmtId="164" fontId="1" fillId="0" borderId="38" xfId="1" applyFont="1" applyBorder="1"/>
    <xf numFmtId="0" fontId="1" fillId="0" borderId="27" xfId="0" applyFont="1" applyBorder="1"/>
    <xf numFmtId="0" fontId="7" fillId="0" borderId="0" xfId="0" applyFont="1"/>
    <xf numFmtId="0" fontId="7" fillId="0" borderId="35" xfId="0" applyFont="1" applyBorder="1" applyAlignment="1">
      <alignment horizontal="right"/>
    </xf>
    <xf numFmtId="0" fontId="7" fillId="0" borderId="27" xfId="0" applyFont="1" applyBorder="1" applyAlignment="1">
      <alignment wrapText="1"/>
    </xf>
    <xf numFmtId="0" fontId="7" fillId="0" borderId="37" xfId="0" applyFont="1" applyBorder="1" applyAlignment="1">
      <alignment horizontal="right"/>
    </xf>
    <xf numFmtId="0" fontId="7" fillId="0" borderId="27" xfId="0" applyFont="1" applyBorder="1"/>
    <xf numFmtId="0" fontId="1" fillId="0" borderId="27" xfId="0" applyFont="1" applyBorder="1" applyAlignment="1">
      <alignment horizontal="right" wrapText="1"/>
    </xf>
    <xf numFmtId="0" fontId="1" fillId="8" borderId="27" xfId="0" applyFont="1" applyFill="1" applyBorder="1"/>
    <xf numFmtId="0" fontId="1" fillId="7" borderId="27" xfId="0" applyFont="1" applyFill="1" applyBorder="1"/>
    <xf numFmtId="0" fontId="1" fillId="9" borderId="27" xfId="0" applyFont="1" applyFill="1" applyBorder="1"/>
    <xf numFmtId="165" fontId="1" fillId="10" borderId="27" xfId="0" applyNumberFormat="1" applyFont="1" applyFill="1" applyBorder="1"/>
    <xf numFmtId="0" fontId="1" fillId="0" borderId="0" xfId="0" applyFont="1" applyAlignment="1">
      <alignment horizontal="right"/>
    </xf>
    <xf numFmtId="0" fontId="1" fillId="11" borderId="27" xfId="0" applyFont="1" applyFill="1" applyBorder="1"/>
    <xf numFmtId="0" fontId="1" fillId="8" borderId="28" xfId="0" applyFont="1" applyFill="1" applyBorder="1"/>
    <xf numFmtId="166" fontId="1" fillId="0" borderId="27" xfId="1" applyNumberFormat="1" applyFont="1" applyFill="1" applyBorder="1" applyAlignment="1">
      <alignment horizontal="right"/>
    </xf>
    <xf numFmtId="0" fontId="1" fillId="0" borderId="0" xfId="0" applyFont="1" applyAlignment="1">
      <alignment textRotation="90" wrapText="1"/>
    </xf>
    <xf numFmtId="0" fontId="1" fillId="0" borderId="39" xfId="0" applyFont="1" applyBorder="1" applyAlignment="1">
      <alignment textRotation="90" wrapText="1"/>
    </xf>
    <xf numFmtId="0" fontId="7" fillId="0" borderId="33" xfId="0" applyFont="1" applyBorder="1" applyAlignment="1">
      <alignment textRotation="90" wrapText="1"/>
    </xf>
    <xf numFmtId="0" fontId="7" fillId="0" borderId="28" xfId="0" applyFont="1" applyBorder="1" applyAlignment="1">
      <alignment horizontal="right"/>
    </xf>
    <xf numFmtId="0" fontId="7" fillId="0" borderId="27" xfId="0" applyFont="1" applyBorder="1" applyAlignment="1">
      <alignment horizontal="right"/>
    </xf>
    <xf numFmtId="0" fontId="7" fillId="0" borderId="39" xfId="0" applyFont="1" applyBorder="1" applyAlignment="1">
      <alignment horizontal="right"/>
    </xf>
    <xf numFmtId="0" fontId="1" fillId="0" borderId="27" xfId="0" applyFont="1" applyBorder="1" applyAlignment="1">
      <alignment wrapText="1"/>
    </xf>
    <xf numFmtId="0" fontId="7" fillId="0" borderId="32" xfId="0" applyFont="1" applyBorder="1" applyAlignment="1">
      <alignment horizontal="right"/>
    </xf>
    <xf numFmtId="0" fontId="12" fillId="0" borderId="27" xfId="2" applyFont="1" applyBorder="1"/>
    <xf numFmtId="0" fontId="1" fillId="0" borderId="42" xfId="0" applyFont="1" applyBorder="1"/>
    <xf numFmtId="1" fontId="1" fillId="0" borderId="0" xfId="0" applyNumberFormat="1" applyFont="1"/>
    <xf numFmtId="0" fontId="7" fillId="0" borderId="27" xfId="0" applyFont="1" applyBorder="1" applyAlignment="1">
      <alignment textRotation="90" wrapText="1"/>
    </xf>
    <xf numFmtId="0" fontId="1" fillId="0" borderId="29" xfId="0" applyFont="1" applyBorder="1"/>
    <xf numFmtId="0" fontId="11" fillId="0" borderId="0" xfId="0" applyFont="1"/>
    <xf numFmtId="0" fontId="7" fillId="0" borderId="41" xfId="0" applyFont="1" applyBorder="1" applyAlignment="1">
      <alignment horizontal="right"/>
    </xf>
    <xf numFmtId="0" fontId="1" fillId="0" borderId="36" xfId="0" applyFont="1" applyBorder="1" applyAlignment="1">
      <alignment horizontal="right" wrapText="1"/>
    </xf>
    <xf numFmtId="0" fontId="1" fillId="8" borderId="31" xfId="0" applyFont="1" applyFill="1" applyBorder="1"/>
    <xf numFmtId="166" fontId="1" fillId="0" borderId="39" xfId="1" applyNumberFormat="1" applyFont="1" applyBorder="1"/>
    <xf numFmtId="164" fontId="1" fillId="0" borderId="31" xfId="1" applyFont="1" applyBorder="1"/>
    <xf numFmtId="166" fontId="1" fillId="0" borderId="40" xfId="1" applyNumberFormat="1" applyFont="1" applyBorder="1"/>
    <xf numFmtId="166" fontId="7" fillId="0" borderId="36" xfId="0" applyNumberFormat="1" applyFont="1" applyBorder="1" applyAlignment="1">
      <alignment horizontal="right"/>
    </xf>
    <xf numFmtId="0" fontId="7" fillId="0" borderId="36" xfId="0" applyFont="1" applyBorder="1" applyAlignment="1">
      <alignment horizontal="right"/>
    </xf>
    <xf numFmtId="0" fontId="1" fillId="6" borderId="31" xfId="0" applyFont="1" applyFill="1" applyBorder="1"/>
    <xf numFmtId="166" fontId="1" fillId="0" borderId="38" xfId="1" applyNumberFormat="1" applyFont="1" applyFill="1" applyBorder="1" applyAlignment="1">
      <alignment horizontal="right"/>
    </xf>
    <xf numFmtId="166" fontId="1" fillId="0" borderId="39" xfId="1" applyNumberFormat="1" applyFont="1" applyFill="1" applyBorder="1" applyAlignment="1">
      <alignment horizontal="right"/>
    </xf>
    <xf numFmtId="0" fontId="1" fillId="11" borderId="28" xfId="0" applyFont="1" applyFill="1" applyBorder="1"/>
    <xf numFmtId="166" fontId="1" fillId="0" borderId="40" xfId="1" applyNumberFormat="1" applyFont="1" applyFill="1" applyBorder="1" applyAlignment="1">
      <alignment horizontal="right"/>
    </xf>
    <xf numFmtId="164" fontId="1" fillId="0" borderId="27" xfId="1" applyFont="1" applyFill="1" applyBorder="1"/>
    <xf numFmtId="164" fontId="1" fillId="0" borderId="39" xfId="1" applyFont="1" applyFill="1" applyBorder="1"/>
    <xf numFmtId="164" fontId="1" fillId="0" borderId="30" xfId="1" applyFont="1" applyFill="1" applyBorder="1"/>
    <xf numFmtId="164" fontId="1" fillId="0" borderId="0" xfId="1" applyFont="1" applyFill="1"/>
    <xf numFmtId="164" fontId="1" fillId="0" borderId="38" xfId="1" applyFont="1" applyFill="1" applyBorder="1"/>
    <xf numFmtId="166" fontId="1" fillId="0" borderId="27" xfId="0" applyNumberFormat="1" applyFont="1" applyBorder="1"/>
    <xf numFmtId="0" fontId="7" fillId="0" borderId="0" xfId="0" applyFont="1" applyAlignment="1">
      <alignment horizontal="right"/>
    </xf>
    <xf numFmtId="165" fontId="1" fillId="0" borderId="0" xfId="0" applyNumberFormat="1" applyFont="1"/>
    <xf numFmtId="0" fontId="5" fillId="0" borderId="27" xfId="0" applyFont="1" applyBorder="1"/>
    <xf numFmtId="0" fontId="2" fillId="3" borderId="2" xfId="0" applyFont="1" applyFill="1" applyBorder="1"/>
    <xf numFmtId="0" fontId="2" fillId="5" borderId="1" xfId="0" applyFont="1" applyFill="1" applyBorder="1"/>
    <xf numFmtId="0" fontId="14" fillId="3" borderId="1" xfId="0" applyFont="1" applyFill="1" applyBorder="1"/>
    <xf numFmtId="0" fontId="14" fillId="4" borderId="1" xfId="0" applyFont="1" applyFill="1" applyBorder="1"/>
    <xf numFmtId="0" fontId="14" fillId="2" borderId="1" xfId="0" applyFont="1" applyFill="1" applyBorder="1"/>
    <xf numFmtId="0" fontId="14" fillId="6" borderId="1" xfId="0" applyFont="1" applyFill="1" applyBorder="1"/>
    <xf numFmtId="0" fontId="14" fillId="6" borderId="4" xfId="0" applyFont="1" applyFill="1" applyBorder="1"/>
    <xf numFmtId="0" fontId="14" fillId="5" borderId="1" xfId="0" applyFont="1" applyFill="1" applyBorder="1"/>
    <xf numFmtId="0" fontId="14" fillId="3" borderId="2" xfId="0" applyFont="1" applyFill="1" applyBorder="1"/>
    <xf numFmtId="0" fontId="14" fillId="2" borderId="4" xfId="0" applyFont="1" applyFill="1" applyBorder="1"/>
    <xf numFmtId="0" fontId="14" fillId="4" borderId="2" xfId="0" applyFont="1" applyFill="1" applyBorder="1"/>
    <xf numFmtId="0" fontId="0" fillId="0" borderId="27" xfId="0" applyBorder="1" applyAlignment="1">
      <alignment horizontal="right"/>
    </xf>
    <xf numFmtId="0" fontId="0" fillId="0" borderId="27" xfId="0" applyBorder="1" applyAlignment="1">
      <alignment horizontal="right" wrapText="1"/>
    </xf>
    <xf numFmtId="166" fontId="7" fillId="0" borderId="27" xfId="0" applyNumberFormat="1" applyFont="1" applyBorder="1"/>
    <xf numFmtId="0" fontId="1" fillId="6" borderId="31" xfId="0" applyFont="1" applyFill="1" applyBorder="1" applyAlignment="1">
      <alignment textRotation="90"/>
    </xf>
    <xf numFmtId="0" fontId="1" fillId="8" borderId="27" xfId="0" applyFont="1" applyFill="1" applyBorder="1" applyAlignment="1">
      <alignment textRotation="90"/>
    </xf>
    <xf numFmtId="0" fontId="1" fillId="7" borderId="27" xfId="0" applyFont="1" applyFill="1" applyBorder="1" applyAlignment="1">
      <alignment textRotation="90"/>
    </xf>
    <xf numFmtId="0" fontId="1" fillId="9" borderId="27" xfId="0" applyFont="1" applyFill="1" applyBorder="1" applyAlignment="1">
      <alignment textRotation="90"/>
    </xf>
    <xf numFmtId="0" fontId="1" fillId="11" borderId="28" xfId="0" applyFont="1" applyFill="1" applyBorder="1" applyAlignment="1">
      <alignment textRotation="90"/>
    </xf>
    <xf numFmtId="0" fontId="5" fillId="0" borderId="27" xfId="0" applyFont="1" applyBorder="1" applyAlignment="1">
      <alignment horizontal="right" wrapText="1"/>
    </xf>
    <xf numFmtId="0" fontId="8" fillId="4" borderId="0" xfId="0" applyFont="1" applyFill="1"/>
    <xf numFmtId="0" fontId="8" fillId="2" borderId="0" xfId="0" applyFont="1" applyFill="1"/>
    <xf numFmtId="0" fontId="2" fillId="3" borderId="0" xfId="0" applyFont="1" applyFill="1"/>
    <xf numFmtId="0" fontId="14" fillId="3" borderId="0" xfId="0" applyFont="1" applyFill="1"/>
    <xf numFmtId="0" fontId="14" fillId="6" borderId="0" xfId="0" applyFont="1" applyFill="1"/>
    <xf numFmtId="0" fontId="14" fillId="5" borderId="0" xfId="0" applyFont="1" applyFill="1"/>
    <xf numFmtId="3" fontId="8" fillId="2" borderId="0" xfId="0" applyNumberFormat="1" applyFont="1" applyFill="1"/>
    <xf numFmtId="3" fontId="14" fillId="5" borderId="0" xfId="0" applyNumberFormat="1" applyFont="1" applyFill="1"/>
    <xf numFmtId="3" fontId="8" fillId="15" borderId="0" xfId="0" applyNumberFormat="1" applyFont="1" applyFill="1"/>
    <xf numFmtId="3" fontId="14" fillId="6" borderId="0" xfId="0" applyNumberFormat="1" applyFont="1" applyFill="1"/>
    <xf numFmtId="3" fontId="8" fillId="4" borderId="0" xfId="0" applyNumberFormat="1" applyFont="1" applyFill="1"/>
    <xf numFmtId="43" fontId="1" fillId="0" borderId="0" xfId="0" applyNumberFormat="1" applyFont="1"/>
    <xf numFmtId="3" fontId="0" fillId="0" borderId="0" xfId="0" applyNumberFormat="1"/>
    <xf numFmtId="166" fontId="1" fillId="12" borderId="27" xfId="1" applyNumberFormat="1" applyFont="1" applyFill="1" applyBorder="1"/>
    <xf numFmtId="166" fontId="7" fillId="12" borderId="27" xfId="1" applyNumberFormat="1" applyFont="1" applyFill="1" applyBorder="1"/>
    <xf numFmtId="166" fontId="1" fillId="12" borderId="27" xfId="1" applyNumberFormat="1" applyFont="1" applyFill="1" applyBorder="1" applyAlignment="1">
      <alignment horizontal="right"/>
    </xf>
    <xf numFmtId="166" fontId="7" fillId="12" borderId="28" xfId="1" applyNumberFormat="1" applyFont="1" applyFill="1" applyBorder="1"/>
    <xf numFmtId="166" fontId="1" fillId="12" borderId="28" xfId="1" applyNumberFormat="1" applyFont="1" applyFill="1" applyBorder="1"/>
    <xf numFmtId="166" fontId="7" fillId="12" borderId="27" xfId="1" applyNumberFormat="1" applyFont="1" applyFill="1" applyBorder="1" applyAlignment="1">
      <alignment horizontal="right"/>
    </xf>
    <xf numFmtId="0" fontId="7" fillId="0" borderId="27" xfId="0" applyFont="1" applyBorder="1" applyAlignment="1">
      <alignment horizontal="left" wrapText="1"/>
    </xf>
    <xf numFmtId="0" fontId="5" fillId="0" borderId="27" xfId="0" applyFont="1" applyBorder="1" applyAlignment="1">
      <alignment vertical="center" wrapText="1"/>
    </xf>
    <xf numFmtId="0" fontId="1" fillId="0" borderId="0" xfId="0" applyFont="1" applyAlignment="1">
      <alignment wrapText="1"/>
    </xf>
    <xf numFmtId="170" fontId="1" fillId="0" borderId="0" xfId="0" applyNumberFormat="1" applyFont="1"/>
    <xf numFmtId="0" fontId="10" fillId="0" borderId="0" xfId="0" applyFont="1"/>
    <xf numFmtId="164" fontId="1" fillId="12" borderId="33" xfId="1" applyFont="1" applyFill="1" applyBorder="1"/>
    <xf numFmtId="164" fontId="1" fillId="0" borderId="0" xfId="0" applyNumberFormat="1" applyFont="1"/>
    <xf numFmtId="164" fontId="1" fillId="12" borderId="30" xfId="1" applyFont="1" applyFill="1" applyBorder="1"/>
    <xf numFmtId="164" fontId="1" fillId="12" borderId="27" xfId="1" applyFont="1" applyFill="1" applyBorder="1"/>
    <xf numFmtId="164" fontId="1" fillId="12" borderId="39" xfId="1" applyFont="1" applyFill="1" applyBorder="1"/>
    <xf numFmtId="164" fontId="1" fillId="12" borderId="33" xfId="1" applyFont="1" applyFill="1" applyBorder="1" applyAlignment="1">
      <alignment horizontal="right"/>
    </xf>
    <xf numFmtId="164" fontId="1" fillId="12" borderId="39" xfId="1" applyFont="1" applyFill="1" applyBorder="1" applyAlignment="1">
      <alignment horizontal="right"/>
    </xf>
    <xf numFmtId="166" fontId="1" fillId="12" borderId="31" xfId="1" applyNumberFormat="1" applyFont="1" applyFill="1" applyBorder="1"/>
    <xf numFmtId="166" fontId="7" fillId="12" borderId="35" xfId="1" applyNumberFormat="1" applyFont="1" applyFill="1" applyBorder="1"/>
    <xf numFmtId="170" fontId="7" fillId="0" borderId="0" xfId="0" applyNumberFormat="1" applyFont="1"/>
    <xf numFmtId="1" fontId="1" fillId="12" borderId="34" xfId="1" applyNumberFormat="1" applyFont="1" applyFill="1" applyBorder="1" applyAlignment="1">
      <alignment horizontal="right" indent="1"/>
    </xf>
    <xf numFmtId="1" fontId="1" fillId="12" borderId="42" xfId="1" applyNumberFormat="1" applyFont="1" applyFill="1" applyBorder="1" applyAlignment="1">
      <alignment horizontal="right" indent="1"/>
    </xf>
    <xf numFmtId="1" fontId="1" fillId="12" borderId="27" xfId="1" applyNumberFormat="1" applyFont="1" applyFill="1" applyBorder="1" applyAlignment="1">
      <alignment horizontal="right" indent="1"/>
    </xf>
    <xf numFmtId="1" fontId="1" fillId="12" borderId="39" xfId="1" applyNumberFormat="1" applyFont="1" applyFill="1" applyBorder="1" applyAlignment="1">
      <alignment horizontal="right" indent="1"/>
    </xf>
    <xf numFmtId="167" fontId="7" fillId="12" borderId="33" xfId="1" applyNumberFormat="1" applyFont="1" applyFill="1" applyBorder="1"/>
    <xf numFmtId="1" fontId="1" fillId="12" borderId="43" xfId="1" applyNumberFormat="1" applyFont="1" applyFill="1" applyBorder="1" applyAlignment="1">
      <alignment horizontal="right" indent="1"/>
    </xf>
    <xf numFmtId="1" fontId="7" fillId="12" borderId="27" xfId="1" applyNumberFormat="1" applyFont="1" applyFill="1" applyBorder="1" applyAlignment="1">
      <alignment horizontal="right" indent="1"/>
    </xf>
    <xf numFmtId="1" fontId="7" fillId="12" borderId="38" xfId="1" applyNumberFormat="1" applyFont="1" applyFill="1" applyBorder="1" applyAlignment="1">
      <alignment horizontal="right" indent="1"/>
    </xf>
    <xf numFmtId="1" fontId="1" fillId="12" borderId="27" xfId="0" applyNumberFormat="1" applyFont="1" applyFill="1" applyBorder="1"/>
    <xf numFmtId="1" fontId="7" fillId="12" borderId="27" xfId="0" applyNumberFormat="1" applyFont="1" applyFill="1" applyBorder="1"/>
    <xf numFmtId="166" fontId="1" fillId="14" borderId="27" xfId="1" applyNumberFormat="1" applyFont="1" applyFill="1" applyBorder="1"/>
    <xf numFmtId="166" fontId="5" fillId="12" borderId="27" xfId="1" applyNumberFormat="1" applyFont="1" applyFill="1" applyBorder="1"/>
    <xf numFmtId="169" fontId="1" fillId="12" borderId="27" xfId="1" applyNumberFormat="1" applyFont="1" applyFill="1" applyBorder="1"/>
    <xf numFmtId="0" fontId="15" fillId="0" borderId="0" xfId="0" applyFont="1" applyAlignment="1">
      <alignment vertical="center"/>
    </xf>
    <xf numFmtId="0" fontId="16" fillId="0" borderId="0" xfId="0" applyFont="1" applyAlignment="1">
      <alignment vertical="center"/>
    </xf>
    <xf numFmtId="0" fontId="18"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horizontal="left" vertical="center" indent="5"/>
    </xf>
    <xf numFmtId="0" fontId="5" fillId="0" borderId="46" xfId="0" applyFont="1" applyBorder="1"/>
    <xf numFmtId="0" fontId="18" fillId="0" borderId="0" xfId="0" applyFont="1"/>
    <xf numFmtId="9" fontId="0" fillId="0" borderId="0" xfId="0" applyNumberFormat="1"/>
    <xf numFmtId="0" fontId="0" fillId="0" borderId="46" xfId="0" applyBorder="1"/>
    <xf numFmtId="0" fontId="0" fillId="0" borderId="27" xfId="0" applyBorder="1" applyAlignment="1">
      <alignment horizontal="left"/>
    </xf>
    <xf numFmtId="0" fontId="0" fillId="0" borderId="27" xfId="0" applyBorder="1"/>
    <xf numFmtId="0" fontId="7" fillId="19" borderId="6" xfId="0" applyFont="1" applyFill="1" applyBorder="1"/>
    <xf numFmtId="0" fontId="1" fillId="19" borderId="7" xfId="0" applyFont="1" applyFill="1" applyBorder="1"/>
    <xf numFmtId="0" fontId="7" fillId="19" borderId="7" xfId="0" applyFont="1" applyFill="1" applyBorder="1"/>
    <xf numFmtId="0" fontId="7" fillId="17" borderId="23" xfId="0" applyFont="1" applyFill="1" applyBorder="1"/>
    <xf numFmtId="0" fontId="7" fillId="17" borderId="7" xfId="0" applyFont="1" applyFill="1" applyBorder="1"/>
    <xf numFmtId="0" fontId="7" fillId="17" borderId="8" xfId="0" applyFont="1" applyFill="1" applyBorder="1"/>
    <xf numFmtId="0" fontId="7" fillId="19" borderId="26" xfId="0" applyFont="1" applyFill="1" applyBorder="1"/>
    <xf numFmtId="0" fontId="7" fillId="19" borderId="1" xfId="0" applyFont="1" applyFill="1" applyBorder="1"/>
    <xf numFmtId="0" fontId="5" fillId="19" borderId="1" xfId="0" applyFont="1" applyFill="1" applyBorder="1"/>
    <xf numFmtId="0" fontId="7" fillId="17" borderId="2" xfId="0" applyFont="1" applyFill="1" applyBorder="1"/>
    <xf numFmtId="0" fontId="7" fillId="17" borderId="1" xfId="0" applyFont="1" applyFill="1" applyBorder="1"/>
    <xf numFmtId="0" fontId="7" fillId="17" borderId="10" xfId="0" applyFont="1" applyFill="1" applyBorder="1"/>
    <xf numFmtId="0" fontId="5" fillId="3" borderId="20" xfId="0" applyFont="1" applyFill="1" applyBorder="1"/>
    <xf numFmtId="0" fontId="5" fillId="19" borderId="25" xfId="0" applyFont="1" applyFill="1" applyBorder="1"/>
    <xf numFmtId="0" fontId="5" fillId="17" borderId="2" xfId="0" applyFont="1" applyFill="1" applyBorder="1"/>
    <xf numFmtId="0" fontId="5" fillId="17" borderId="1" xfId="0" applyFont="1" applyFill="1" applyBorder="1"/>
    <xf numFmtId="0" fontId="7" fillId="19" borderId="9" xfId="0" applyFont="1" applyFill="1" applyBorder="1"/>
    <xf numFmtId="0" fontId="5" fillId="17" borderId="24" xfId="0" applyFont="1" applyFill="1" applyBorder="1"/>
    <xf numFmtId="0" fontId="5" fillId="17" borderId="5" xfId="0" applyFont="1" applyFill="1" applyBorder="1"/>
    <xf numFmtId="0" fontId="7" fillId="17" borderId="5" xfId="0" applyFont="1" applyFill="1" applyBorder="1"/>
    <xf numFmtId="0" fontId="7" fillId="17" borderId="18" xfId="0" applyFont="1" applyFill="1" applyBorder="1"/>
    <xf numFmtId="0" fontId="7" fillId="19" borderId="10" xfId="0" applyFont="1" applyFill="1" applyBorder="1"/>
    <xf numFmtId="0" fontId="5" fillId="2" borderId="1" xfId="0" applyFont="1" applyFill="1" applyBorder="1"/>
    <xf numFmtId="0" fontId="5" fillId="3" borderId="4" xfId="0" applyFont="1" applyFill="1" applyBorder="1"/>
    <xf numFmtId="0" fontId="7" fillId="19" borderId="22" xfId="0" applyFont="1" applyFill="1" applyBorder="1"/>
    <xf numFmtId="0" fontId="5" fillId="3" borderId="1" xfId="0" applyFont="1" applyFill="1" applyBorder="1"/>
    <xf numFmtId="0" fontId="5" fillId="6" borderId="3" xfId="0" applyFont="1" applyFill="1" applyBorder="1"/>
    <xf numFmtId="0" fontId="5" fillId="6" borderId="20" xfId="0" applyFont="1" applyFill="1" applyBorder="1"/>
    <xf numFmtId="0" fontId="7" fillId="19" borderId="21" xfId="0" applyFont="1" applyFill="1" applyBorder="1"/>
    <xf numFmtId="0" fontId="5" fillId="6" borderId="1" xfId="0" applyFont="1" applyFill="1" applyBorder="1"/>
    <xf numFmtId="0" fontId="5" fillId="16" borderId="1" xfId="0" applyFont="1" applyFill="1" applyBorder="1"/>
    <xf numFmtId="0" fontId="5" fillId="6" borderId="4" xfId="0" applyFont="1" applyFill="1" applyBorder="1"/>
    <xf numFmtId="0" fontId="7" fillId="19" borderId="0" xfId="0" applyFont="1" applyFill="1"/>
    <xf numFmtId="0" fontId="7" fillId="6" borderId="1" xfId="0" applyFont="1" applyFill="1" applyBorder="1"/>
    <xf numFmtId="0" fontId="7" fillId="6" borderId="4" xfId="0" applyFont="1" applyFill="1" applyBorder="1"/>
    <xf numFmtId="0" fontId="7" fillId="5" borderId="1" xfId="0" applyFont="1" applyFill="1" applyBorder="1"/>
    <xf numFmtId="0" fontId="7" fillId="3" borderId="2" xfId="0" applyFont="1" applyFill="1" applyBorder="1"/>
    <xf numFmtId="0" fontId="7" fillId="3" borderId="1" xfId="0" applyFont="1" applyFill="1" applyBorder="1"/>
    <xf numFmtId="0" fontId="7" fillId="3" borderId="3" xfId="0" applyFont="1" applyFill="1" applyBorder="1"/>
    <xf numFmtId="0" fontId="7" fillId="3" borderId="19" xfId="0" applyFont="1" applyFill="1" applyBorder="1"/>
    <xf numFmtId="0" fontId="7" fillId="18" borderId="9" xfId="0" applyFont="1" applyFill="1" applyBorder="1"/>
    <xf numFmtId="0" fontId="7" fillId="18" borderId="1" xfId="0" applyFont="1" applyFill="1" applyBorder="1"/>
    <xf numFmtId="0" fontId="7" fillId="18" borderId="4" xfId="0" applyFont="1" applyFill="1" applyBorder="1"/>
    <xf numFmtId="0" fontId="7" fillId="12" borderId="2" xfId="0" applyFont="1" applyFill="1" applyBorder="1"/>
    <xf numFmtId="0" fontId="7" fillId="12" borderId="1" xfId="0" applyFont="1" applyFill="1" applyBorder="1"/>
    <xf numFmtId="0" fontId="7" fillId="12" borderId="10" xfId="0" applyFont="1" applyFill="1" applyBorder="1"/>
    <xf numFmtId="0" fontId="7" fillId="12" borderId="5" xfId="0" applyFont="1" applyFill="1" applyBorder="1"/>
    <xf numFmtId="0" fontId="7" fillId="12" borderId="14" xfId="0" applyFont="1" applyFill="1" applyBorder="1"/>
    <xf numFmtId="0" fontId="7" fillId="18" borderId="3" xfId="0" applyFont="1" applyFill="1" applyBorder="1"/>
    <xf numFmtId="0" fontId="7" fillId="12" borderId="4" xfId="0" applyFont="1" applyFill="1" applyBorder="1"/>
    <xf numFmtId="0" fontId="7" fillId="0" borderId="15" xfId="0" applyFont="1" applyBorder="1"/>
    <xf numFmtId="0" fontId="7" fillId="0" borderId="16" xfId="0" applyFont="1" applyBorder="1"/>
    <xf numFmtId="0" fontId="7" fillId="0" borderId="17" xfId="0" applyFont="1" applyBorder="1"/>
    <xf numFmtId="0" fontId="7" fillId="18" borderId="11" xfId="0" applyFont="1" applyFill="1" applyBorder="1"/>
    <xf numFmtId="0" fontId="7" fillId="18" borderId="12" xfId="0" applyFont="1" applyFill="1" applyBorder="1"/>
    <xf numFmtId="0" fontId="7" fillId="12" borderId="12" xfId="0" applyFont="1" applyFill="1" applyBorder="1"/>
    <xf numFmtId="0" fontId="7" fillId="12" borderId="13" xfId="0" applyFont="1" applyFill="1" applyBorder="1"/>
    <xf numFmtId="0" fontId="20" fillId="0" borderId="0" xfId="0" applyFont="1"/>
    <xf numFmtId="0" fontId="21" fillId="0" borderId="0" xfId="0" applyFont="1"/>
    <xf numFmtId="0" fontId="21" fillId="0" borderId="27" xfId="0" applyFont="1" applyBorder="1" applyAlignment="1">
      <alignment horizontal="right" wrapText="1"/>
    </xf>
    <xf numFmtId="166" fontId="21" fillId="0" borderId="27" xfId="1" applyNumberFormat="1" applyFont="1" applyBorder="1"/>
    <xf numFmtId="3" fontId="21" fillId="0" borderId="27" xfId="1" applyNumberFormat="1" applyFont="1" applyFill="1" applyBorder="1"/>
    <xf numFmtId="3" fontId="21" fillId="12" borderId="27" xfId="0" applyNumberFormat="1" applyFont="1" applyFill="1" applyBorder="1"/>
    <xf numFmtId="0" fontId="21" fillId="7" borderId="27" xfId="0" applyFont="1" applyFill="1" applyBorder="1"/>
    <xf numFmtId="0" fontId="15" fillId="0" borderId="0" xfId="0" applyFont="1"/>
    <xf numFmtId="0" fontId="21" fillId="9" borderId="27" xfId="0" applyFont="1" applyFill="1" applyBorder="1"/>
    <xf numFmtId="9" fontId="15" fillId="0" borderId="45" xfId="3" applyFont="1" applyFill="1" applyBorder="1"/>
    <xf numFmtId="9" fontId="15" fillId="0" borderId="0" xfId="3" applyFont="1"/>
    <xf numFmtId="0" fontId="21" fillId="8" borderId="27" xfId="0" applyFont="1" applyFill="1" applyBorder="1"/>
    <xf numFmtId="3" fontId="21" fillId="13" borderId="27" xfId="1" applyNumberFormat="1" applyFont="1" applyFill="1" applyBorder="1"/>
    <xf numFmtId="3" fontId="21" fillId="12" borderId="27" xfId="1" applyNumberFormat="1" applyFont="1" applyFill="1" applyBorder="1"/>
    <xf numFmtId="3" fontId="21" fillId="12" borderId="27" xfId="1" applyNumberFormat="1" applyFont="1" applyFill="1" applyBorder="1" applyAlignment="1">
      <alignment horizontal="right"/>
    </xf>
    <xf numFmtId="0" fontId="21" fillId="0" borderId="0" xfId="0" applyFont="1" applyAlignment="1">
      <alignment horizontal="right"/>
    </xf>
    <xf numFmtId="3" fontId="21" fillId="12" borderId="28" xfId="1" applyNumberFormat="1" applyFont="1" applyFill="1" applyBorder="1"/>
    <xf numFmtId="3" fontId="21" fillId="12" borderId="28" xfId="0" applyNumberFormat="1" applyFont="1" applyFill="1" applyBorder="1"/>
    <xf numFmtId="0" fontId="20" fillId="0" borderId="35" xfId="0" applyFont="1" applyBorder="1"/>
    <xf numFmtId="166" fontId="20" fillId="0" borderId="35" xfId="0" applyNumberFormat="1" applyFont="1" applyBorder="1" applyAlignment="1">
      <alignment horizontal="right"/>
    </xf>
    <xf numFmtId="3" fontId="20" fillId="12" borderId="35" xfId="1" applyNumberFormat="1" applyFont="1" applyFill="1" applyBorder="1"/>
    <xf numFmtId="3" fontId="20" fillId="12" borderId="35" xfId="0" applyNumberFormat="1" applyFont="1" applyFill="1" applyBorder="1"/>
    <xf numFmtId="0" fontId="17" fillId="0" borderId="0" xfId="0" applyFont="1"/>
    <xf numFmtId="164" fontId="21" fillId="0" borderId="0" xfId="1" applyFont="1"/>
    <xf numFmtId="168" fontId="21" fillId="0" borderId="0" xfId="0" applyNumberFormat="1" applyFont="1"/>
    <xf numFmtId="0" fontId="15" fillId="0" borderId="27" xfId="0" applyFont="1" applyBorder="1" applyAlignment="1">
      <alignment horizontal="right" wrapText="1"/>
    </xf>
    <xf numFmtId="0" fontId="15" fillId="0" borderId="27" xfId="0" applyFont="1" applyBorder="1" applyAlignment="1">
      <alignment horizontal="right"/>
    </xf>
    <xf numFmtId="0" fontId="21" fillId="6" borderId="31" xfId="0" applyFont="1" applyFill="1" applyBorder="1"/>
    <xf numFmtId="166" fontId="21" fillId="0" borderId="27" xfId="1" applyNumberFormat="1" applyFont="1" applyFill="1" applyBorder="1" applyAlignment="1">
      <alignment horizontal="right"/>
    </xf>
    <xf numFmtId="166" fontId="21" fillId="12" borderId="27" xfId="1" applyNumberFormat="1" applyFont="1" applyFill="1" applyBorder="1"/>
    <xf numFmtId="166" fontId="20" fillId="12" borderId="27" xfId="1" applyNumberFormat="1" applyFont="1" applyFill="1" applyBorder="1"/>
    <xf numFmtId="166" fontId="21" fillId="12" borderId="27" xfId="1" applyNumberFormat="1" applyFont="1" applyFill="1" applyBorder="1" applyAlignment="1">
      <alignment horizontal="right"/>
    </xf>
    <xf numFmtId="166" fontId="20" fillId="12" borderId="27" xfId="1" applyNumberFormat="1" applyFont="1" applyFill="1" applyBorder="1" applyAlignment="1">
      <alignment horizontal="right"/>
    </xf>
    <xf numFmtId="0" fontId="21" fillId="11" borderId="28" xfId="0" applyFont="1" applyFill="1" applyBorder="1"/>
    <xf numFmtId="166" fontId="21" fillId="0" borderId="28" xfId="1" applyNumberFormat="1" applyFont="1" applyFill="1" applyBorder="1" applyAlignment="1">
      <alignment horizontal="right"/>
    </xf>
    <xf numFmtId="166" fontId="21" fillId="12" borderId="28" xfId="1" applyNumberFormat="1" applyFont="1" applyFill="1" applyBorder="1"/>
    <xf numFmtId="0" fontId="20" fillId="0" borderId="27" xfId="0" applyFont="1" applyBorder="1"/>
    <xf numFmtId="166" fontId="20" fillId="0" borderId="27" xfId="0" applyNumberFormat="1" applyFont="1" applyBorder="1"/>
    <xf numFmtId="0" fontId="20" fillId="0" borderId="44" xfId="0" applyFont="1" applyBorder="1" applyAlignment="1">
      <alignment textRotation="90"/>
    </xf>
    <xf numFmtId="3" fontId="20" fillId="0" borderId="32" xfId="0" applyNumberFormat="1" applyFont="1" applyBorder="1" applyAlignment="1">
      <alignment horizontal="left"/>
    </xf>
    <xf numFmtId="3" fontId="20" fillId="0" borderId="33" xfId="0" applyNumberFormat="1" applyFont="1" applyBorder="1" applyAlignment="1">
      <alignment horizontal="left"/>
    </xf>
    <xf numFmtId="3" fontId="20" fillId="12" borderId="31" xfId="1" applyNumberFormat="1" applyFont="1" applyFill="1" applyBorder="1"/>
    <xf numFmtId="3" fontId="20" fillId="12" borderId="30" xfId="1" applyNumberFormat="1" applyFont="1" applyFill="1" applyBorder="1"/>
    <xf numFmtId="3" fontId="20" fillId="12" borderId="27" xfId="1" applyNumberFormat="1" applyFont="1" applyFill="1" applyBorder="1"/>
    <xf numFmtId="3" fontId="20" fillId="12" borderId="44" xfId="1" applyNumberFormat="1" applyFont="1" applyFill="1" applyBorder="1"/>
    <xf numFmtId="3" fontId="21" fillId="0" borderId="32" xfId="0" applyNumberFormat="1" applyFont="1" applyBorder="1" applyAlignment="1">
      <alignment horizontal="left"/>
    </xf>
    <xf numFmtId="3" fontId="21" fillId="0" borderId="33" xfId="0" applyNumberFormat="1" applyFont="1" applyBorder="1" applyAlignment="1">
      <alignment horizontal="left"/>
    </xf>
    <xf numFmtId="3" fontId="24" fillId="12" borderId="27" xfId="1" applyNumberFormat="1" applyFont="1" applyFill="1" applyBorder="1"/>
    <xf numFmtId="3" fontId="25" fillId="12" borderId="44" xfId="1" applyNumberFormat="1" applyFont="1" applyFill="1" applyBorder="1"/>
    <xf numFmtId="3" fontId="21" fillId="0" borderId="0" xfId="0" applyNumberFormat="1" applyFont="1"/>
    <xf numFmtId="0" fontId="7" fillId="4" borderId="6" xfId="0" applyFont="1" applyFill="1" applyBorder="1"/>
    <xf numFmtId="0" fontId="1" fillId="4" borderId="7" xfId="0" applyFont="1" applyFill="1" applyBorder="1"/>
    <xf numFmtId="0" fontId="7" fillId="4" borderId="7" xfId="0" applyFont="1" applyFill="1" applyBorder="1"/>
    <xf numFmtId="0" fontId="7" fillId="2" borderId="7" xfId="0" applyFont="1" applyFill="1" applyBorder="1"/>
    <xf numFmtId="0" fontId="7" fillId="2" borderId="8" xfId="0" applyFont="1" applyFill="1" applyBorder="1"/>
    <xf numFmtId="0" fontId="7" fillId="4" borderId="9" xfId="0" applyFont="1" applyFill="1" applyBorder="1"/>
    <xf numFmtId="0" fontId="7" fillId="4" borderId="1" xfId="0" applyFont="1" applyFill="1" applyBorder="1"/>
    <xf numFmtId="0" fontId="7" fillId="2" borderId="1" xfId="0" applyFont="1" applyFill="1" applyBorder="1"/>
    <xf numFmtId="0" fontId="7" fillId="2" borderId="10" xfId="0" applyFont="1" applyFill="1" applyBorder="1"/>
    <xf numFmtId="0" fontId="5" fillId="4" borderId="1" xfId="0" applyFont="1" applyFill="1" applyBorder="1"/>
    <xf numFmtId="0" fontId="0" fillId="2" borderId="1" xfId="0" applyFill="1" applyBorder="1"/>
    <xf numFmtId="0" fontId="7" fillId="4" borderId="10" xfId="0" applyFont="1" applyFill="1" applyBorder="1"/>
    <xf numFmtId="0" fontId="7" fillId="4" borderId="0" xfId="0" applyFont="1" applyFill="1"/>
    <xf numFmtId="0" fontId="7" fillId="3" borderId="10" xfId="0" applyFont="1" applyFill="1" applyBorder="1"/>
    <xf numFmtId="0" fontId="7" fillId="2" borderId="9" xfId="0" applyFont="1" applyFill="1" applyBorder="1"/>
    <xf numFmtId="0" fontId="7" fillId="2" borderId="4" xfId="0" applyFont="1" applyFill="1" applyBorder="1"/>
    <xf numFmtId="0" fontId="7" fillId="4" borderId="2" xfId="0" applyFont="1" applyFill="1" applyBorder="1"/>
    <xf numFmtId="0" fontId="7" fillId="4" borderId="5" xfId="0" applyFont="1" applyFill="1" applyBorder="1"/>
    <xf numFmtId="0" fontId="7" fillId="4" borderId="14" xfId="0" applyFont="1" applyFill="1" applyBorder="1"/>
    <xf numFmtId="0" fontId="7" fillId="2" borderId="3" xfId="0" applyFont="1" applyFill="1" applyBorder="1"/>
    <xf numFmtId="0" fontId="7" fillId="4" borderId="4" xfId="0" applyFont="1" applyFill="1" applyBorder="1"/>
    <xf numFmtId="0" fontId="1" fillId="2" borderId="1" xfId="0" applyFont="1" applyFill="1" applyBorder="1"/>
    <xf numFmtId="0" fontId="7" fillId="2" borderId="11" xfId="0" applyFont="1" applyFill="1" applyBorder="1"/>
    <xf numFmtId="0" fontId="7" fillId="2" borderId="12" xfId="0" applyFont="1" applyFill="1" applyBorder="1"/>
    <xf numFmtId="0" fontId="7" fillId="4" borderId="12" xfId="0" applyFont="1" applyFill="1" applyBorder="1"/>
    <xf numFmtId="0" fontId="7" fillId="4" borderId="13" xfId="0" applyFont="1" applyFill="1" applyBorder="1"/>
    <xf numFmtId="0" fontId="27" fillId="6" borderId="31" xfId="0" applyFont="1" applyFill="1" applyBorder="1" applyAlignment="1">
      <alignment textRotation="90"/>
    </xf>
    <xf numFmtId="0" fontId="27" fillId="8" borderId="27" xfId="0" applyFont="1" applyFill="1" applyBorder="1" applyAlignment="1">
      <alignment textRotation="90"/>
    </xf>
    <xf numFmtId="0" fontId="27" fillId="7" borderId="27" xfId="0" applyFont="1" applyFill="1" applyBorder="1" applyAlignment="1">
      <alignment textRotation="90"/>
    </xf>
    <xf numFmtId="0" fontId="27" fillId="9" borderId="27" xfId="0" applyFont="1" applyFill="1" applyBorder="1" applyAlignment="1">
      <alignment textRotation="90"/>
    </xf>
    <xf numFmtId="0" fontId="27" fillId="11" borderId="28" xfId="0" applyFont="1" applyFill="1" applyBorder="1" applyAlignment="1">
      <alignment textRotation="90"/>
    </xf>
    <xf numFmtId="0" fontId="26" fillId="0" borderId="0" xfId="0" applyFont="1"/>
    <xf numFmtId="0" fontId="26" fillId="0" borderId="0" xfId="0" quotePrefix="1" applyFont="1"/>
    <xf numFmtId="43" fontId="26" fillId="0" borderId="0" xfId="0" applyNumberFormat="1" applyFont="1"/>
    <xf numFmtId="164" fontId="1" fillId="12" borderId="38" xfId="1" applyFont="1" applyFill="1" applyBorder="1"/>
    <xf numFmtId="0" fontId="28" fillId="0" borderId="0" xfId="0" applyFont="1"/>
    <xf numFmtId="0" fontId="29" fillId="0" borderId="0" xfId="0" applyFont="1"/>
    <xf numFmtId="0" fontId="30" fillId="0" borderId="0" xfId="0" applyFont="1" applyAlignment="1">
      <alignment vertical="center"/>
    </xf>
    <xf numFmtId="0" fontId="31" fillId="0" borderId="0" xfId="0" applyFont="1"/>
    <xf numFmtId="0" fontId="32" fillId="0" borderId="0" xfId="0" applyFont="1"/>
    <xf numFmtId="0" fontId="31" fillId="0" borderId="0" xfId="0" applyFont="1" applyAlignment="1">
      <alignment vertical="center"/>
    </xf>
    <xf numFmtId="0" fontId="31" fillId="20" borderId="0" xfId="0" applyFont="1" applyFill="1"/>
    <xf numFmtId="0" fontId="0" fillId="20" borderId="0" xfId="0" applyFill="1"/>
    <xf numFmtId="0" fontId="5" fillId="20" borderId="0" xfId="0" applyFont="1" applyFill="1"/>
    <xf numFmtId="0" fontId="0" fillId="20" borderId="0" xfId="0" applyFill="1" applyAlignment="1">
      <alignment vertical="top"/>
    </xf>
    <xf numFmtId="0" fontId="1" fillId="6" borderId="27" xfId="0" applyFont="1" applyFill="1" applyBorder="1" applyAlignment="1">
      <alignment textRotation="90"/>
    </xf>
    <xf numFmtId="0" fontId="1" fillId="11" borderId="27" xfId="0" applyFont="1" applyFill="1" applyBorder="1" applyAlignment="1">
      <alignment textRotation="90"/>
    </xf>
    <xf numFmtId="0" fontId="1" fillId="0" borderId="27" xfId="0" applyFont="1" applyBorder="1" applyAlignment="1">
      <alignment textRotation="90" wrapText="1"/>
    </xf>
    <xf numFmtId="0" fontId="1" fillId="0" borderId="32" xfId="0" applyFont="1" applyBorder="1" applyAlignment="1">
      <alignment horizontal="center"/>
    </xf>
    <xf numFmtId="0" fontId="1" fillId="0" borderId="27" xfId="0" applyFont="1" applyBorder="1" applyAlignment="1">
      <alignment horizontal="left"/>
    </xf>
    <xf numFmtId="0" fontId="1" fillId="20" borderId="0" xfId="0" applyFont="1" applyFill="1"/>
    <xf numFmtId="0" fontId="1" fillId="20" borderId="29" xfId="0" applyFont="1" applyFill="1" applyBorder="1"/>
    <xf numFmtId="0" fontId="7" fillId="20" borderId="0" xfId="0" applyFont="1" applyFill="1"/>
    <xf numFmtId="0" fontId="1" fillId="6" borderId="27" xfId="0" applyFont="1" applyFill="1" applyBorder="1"/>
    <xf numFmtId="167" fontId="7" fillId="12" borderId="27" xfId="1" applyNumberFormat="1" applyFont="1" applyFill="1" applyBorder="1"/>
    <xf numFmtId="164" fontId="1" fillId="0" borderId="32" xfId="1" applyFont="1" applyBorder="1"/>
    <xf numFmtId="0" fontId="0" fillId="20" borderId="47" xfId="0" applyFill="1" applyBorder="1" applyAlignment="1">
      <alignment horizontal="left" vertical="top" wrapText="1"/>
    </xf>
    <xf numFmtId="0" fontId="0" fillId="20" borderId="48" xfId="0" applyFill="1" applyBorder="1" applyAlignment="1">
      <alignment horizontal="left" vertical="top" wrapText="1"/>
    </xf>
    <xf numFmtId="0" fontId="0" fillId="20" borderId="49" xfId="0" applyFill="1" applyBorder="1" applyAlignment="1">
      <alignment horizontal="left" vertical="top" wrapText="1"/>
    </xf>
    <xf numFmtId="0" fontId="0" fillId="20" borderId="50" xfId="0" applyFill="1" applyBorder="1" applyAlignment="1">
      <alignment horizontal="left" vertical="top" wrapText="1"/>
    </xf>
    <xf numFmtId="0" fontId="0" fillId="20" borderId="0" xfId="0" applyFill="1" applyAlignment="1">
      <alignment horizontal="left" vertical="top" wrapText="1"/>
    </xf>
    <xf numFmtId="0" fontId="0" fillId="20" borderId="51" xfId="0" applyFill="1" applyBorder="1" applyAlignment="1">
      <alignment horizontal="left" vertical="top" wrapText="1"/>
    </xf>
    <xf numFmtId="0" fontId="0" fillId="20" borderId="52" xfId="0" applyFill="1" applyBorder="1" applyAlignment="1">
      <alignment horizontal="left" vertical="top" wrapText="1"/>
    </xf>
    <xf numFmtId="0" fontId="0" fillId="20" borderId="53" xfId="0" applyFill="1" applyBorder="1" applyAlignment="1">
      <alignment horizontal="left" vertical="top" wrapText="1"/>
    </xf>
    <xf numFmtId="0" fontId="0" fillId="20" borderId="54" xfId="0" applyFill="1" applyBorder="1" applyAlignment="1">
      <alignment horizontal="left" vertical="top" wrapText="1"/>
    </xf>
    <xf numFmtId="0" fontId="0" fillId="20" borderId="55" xfId="0" applyFill="1" applyBorder="1" applyAlignment="1">
      <alignment horizontal="left" vertical="top" wrapText="1"/>
    </xf>
    <xf numFmtId="0" fontId="0" fillId="20" borderId="56" xfId="0" applyFill="1" applyBorder="1" applyAlignment="1">
      <alignment horizontal="left" vertical="top" wrapText="1"/>
    </xf>
    <xf numFmtId="0" fontId="0" fillId="20" borderId="57" xfId="0" applyFill="1" applyBorder="1" applyAlignment="1">
      <alignment horizontal="left" vertical="top" wrapText="1"/>
    </xf>
    <xf numFmtId="0" fontId="7" fillId="0" borderId="27" xfId="0" applyFont="1" applyBorder="1" applyAlignment="1">
      <alignment horizontal="center"/>
    </xf>
    <xf numFmtId="0" fontId="1" fillId="0" borderId="32" xfId="0" applyFont="1" applyBorder="1" applyAlignment="1">
      <alignment horizontal="left"/>
    </xf>
    <xf numFmtId="0" fontId="1" fillId="0" borderId="33" xfId="0" applyFont="1" applyBorder="1" applyAlignment="1">
      <alignment horizontal="left"/>
    </xf>
    <xf numFmtId="3" fontId="24" fillId="0" borderId="32" xfId="0" applyNumberFormat="1" applyFont="1" applyBorder="1" applyAlignment="1">
      <alignment horizontal="left"/>
    </xf>
    <xf numFmtId="3" fontId="24" fillId="0" borderId="33" xfId="0" applyNumberFormat="1" applyFont="1" applyBorder="1" applyAlignment="1">
      <alignment horizontal="left"/>
    </xf>
    <xf numFmtId="3" fontId="20" fillId="0" borderId="32" xfId="0" applyNumberFormat="1" applyFont="1" applyBorder="1" applyAlignment="1">
      <alignment horizontal="left"/>
    </xf>
    <xf numFmtId="3" fontId="20" fillId="0" borderId="33" xfId="0" applyNumberFormat="1" applyFont="1" applyBorder="1" applyAlignment="1">
      <alignment horizontal="left"/>
    </xf>
    <xf numFmtId="0" fontId="21" fillId="0" borderId="32" xfId="0" applyFont="1" applyBorder="1" applyAlignment="1">
      <alignment horizontal="left"/>
    </xf>
    <xf numFmtId="0" fontId="21" fillId="0" borderId="33" xfId="0" applyFont="1" applyBorder="1" applyAlignment="1">
      <alignment horizontal="left"/>
    </xf>
    <xf numFmtId="3" fontId="21" fillId="0" borderId="32" xfId="0" applyNumberFormat="1" applyFont="1" applyBorder="1" applyAlignment="1">
      <alignment horizontal="left"/>
    </xf>
    <xf numFmtId="3" fontId="21" fillId="0" borderId="33" xfId="0" applyNumberFormat="1" applyFont="1" applyBorder="1" applyAlignment="1">
      <alignment horizontal="left"/>
    </xf>
    <xf numFmtId="0" fontId="20" fillId="0" borderId="28" xfId="0" applyFont="1" applyBorder="1" applyAlignment="1">
      <alignment horizontal="right" wrapText="1"/>
    </xf>
    <xf numFmtId="0" fontId="20" fillId="0" borderId="31" xfId="0" applyFont="1" applyBorder="1" applyAlignment="1">
      <alignment horizontal="right" wrapText="1"/>
    </xf>
    <xf numFmtId="0" fontId="20" fillId="0" borderId="27" xfId="0" applyFont="1" applyBorder="1" applyAlignment="1">
      <alignment horizontal="left"/>
    </xf>
    <xf numFmtId="0" fontId="20" fillId="0" borderId="28" xfId="0" applyFont="1" applyBorder="1" applyAlignment="1">
      <alignment horizontal="left"/>
    </xf>
    <xf numFmtId="0" fontId="20" fillId="0" borderId="31" xfId="0" applyFont="1" applyBorder="1" applyAlignment="1">
      <alignment horizontal="left"/>
    </xf>
    <xf numFmtId="0" fontId="0" fillId="0" borderId="27" xfId="0" applyBorder="1" applyAlignment="1">
      <alignment horizontal="left"/>
    </xf>
    <xf numFmtId="0" fontId="7" fillId="0" borderId="28" xfId="0" applyFont="1" applyBorder="1" applyAlignment="1">
      <alignment horizontal="left"/>
    </xf>
    <xf numFmtId="0" fontId="7" fillId="0" borderId="31" xfId="0" applyFont="1" applyBorder="1" applyAlignment="1">
      <alignment horizontal="left"/>
    </xf>
    <xf numFmtId="0" fontId="7" fillId="0" borderId="28" xfId="0" applyFont="1" applyBorder="1" applyAlignment="1">
      <alignment horizontal="right" wrapText="1"/>
    </xf>
    <xf numFmtId="0" fontId="7" fillId="0" borderId="31" xfId="0" applyFont="1" applyBorder="1" applyAlignment="1">
      <alignment horizontal="right" wrapText="1"/>
    </xf>
  </cellXfs>
  <cellStyles count="4">
    <cellStyle name="Comma" xfId="1" builtinId="3"/>
    <cellStyle name="Hyperlink" xfId="2" builtinId="8"/>
    <cellStyle name="Normal" xfId="0" builtinId="0"/>
    <cellStyle name="Percent" xfId="3" builtinId="5"/>
  </cellStyles>
  <dxfs count="16">
    <dxf>
      <font>
        <strike val="0"/>
        <color theme="1"/>
      </font>
    </dxf>
    <dxf>
      <font>
        <strike val="0"/>
        <color theme="1"/>
      </font>
    </dxf>
    <dxf>
      <font>
        <strike val="0"/>
        <color theme="1"/>
      </font>
    </dxf>
    <dxf>
      <font>
        <strike val="0"/>
        <color theme="1"/>
      </font>
    </dxf>
    <dxf>
      <font>
        <strike val="0"/>
        <color theme="1"/>
      </font>
    </dxf>
    <dxf>
      <font>
        <strike val="0"/>
        <color theme="1"/>
      </font>
    </dxf>
    <dxf>
      <font>
        <strike val="0"/>
        <color theme="1"/>
      </font>
    </dxf>
    <dxf>
      <font>
        <strike val="0"/>
        <color theme="1"/>
      </font>
    </dxf>
    <dxf>
      <font>
        <strike val="0"/>
        <color theme="1"/>
      </font>
    </dxf>
    <dxf>
      <font>
        <strike val="0"/>
        <color theme="1"/>
      </font>
    </dxf>
    <dxf>
      <font>
        <strike val="0"/>
        <color theme="1"/>
      </font>
    </dxf>
    <dxf>
      <font>
        <strike val="0"/>
        <color theme="1"/>
      </font>
    </dxf>
    <dxf>
      <font>
        <strike val="0"/>
        <color theme="1"/>
      </font>
    </dxf>
    <dxf>
      <font>
        <strike val="0"/>
        <color theme="1"/>
      </font>
    </dxf>
    <dxf>
      <font>
        <strike val="0"/>
        <color theme="1"/>
      </font>
    </dxf>
    <dxf>
      <font>
        <strike val="0"/>
        <color theme="1"/>
      </font>
    </dxf>
  </dxfs>
  <tableStyles count="0" defaultTableStyle="TableStyleMedium2" defaultPivotStyle="PivotStyleMedium9"/>
  <colors>
    <mruColors>
      <color rgb="FFEDE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214626</xdr:colOff>
      <xdr:row>15</xdr:row>
      <xdr:rowOff>165007</xdr:rowOff>
    </xdr:from>
    <xdr:ext cx="883703" cy="282141"/>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186551" y="3012982"/>
          <a:ext cx="883703" cy="282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b="1"/>
            <a:t>EA09</a:t>
          </a:r>
        </a:p>
      </xdr:txBody>
    </xdr:sp>
    <xdr:clientData/>
  </xdr:oneCellAnchor>
  <xdr:oneCellAnchor>
    <xdr:from>
      <xdr:col>4</xdr:col>
      <xdr:colOff>142875</xdr:colOff>
      <xdr:row>14</xdr:row>
      <xdr:rowOff>85725</xdr:rowOff>
    </xdr:from>
    <xdr:ext cx="508922" cy="280205"/>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104900" y="2733675"/>
          <a:ext cx="5089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200" b="1"/>
            <a:t>EA07</a:t>
          </a:r>
        </a:p>
      </xdr:txBody>
    </xdr:sp>
    <xdr:clientData/>
  </xdr:oneCellAnchor>
  <xdr:oneCellAnchor>
    <xdr:from>
      <xdr:col>8</xdr:col>
      <xdr:colOff>228600</xdr:colOff>
      <xdr:row>13</xdr:row>
      <xdr:rowOff>161925</xdr:rowOff>
    </xdr:from>
    <xdr:ext cx="508922" cy="28020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143125" y="2609850"/>
          <a:ext cx="5089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200" b="1"/>
            <a:t>EA06</a:t>
          </a:r>
        </a:p>
      </xdr:txBody>
    </xdr:sp>
    <xdr:clientData/>
  </xdr:oneCellAnchor>
  <xdr:oneCellAnchor>
    <xdr:from>
      <xdr:col>6</xdr:col>
      <xdr:colOff>171450</xdr:colOff>
      <xdr:row>16</xdr:row>
      <xdr:rowOff>28575</xdr:rowOff>
    </xdr:from>
    <xdr:ext cx="481927"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609725" y="3095625"/>
          <a:ext cx="48192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EA08</a:t>
          </a:r>
        </a:p>
      </xdr:txBody>
    </xdr:sp>
    <xdr:clientData/>
  </xdr:oneCellAnchor>
  <xdr:oneCellAnchor>
    <xdr:from>
      <xdr:col>2</xdr:col>
      <xdr:colOff>37191</xdr:colOff>
      <xdr:row>6</xdr:row>
      <xdr:rowOff>132749</xdr:rowOff>
    </xdr:from>
    <xdr:ext cx="1560958" cy="318073"/>
    <xdr:sp macro="" textlink="">
      <xdr:nvSpPr>
        <xdr:cNvPr id="6" name="TextBox 5">
          <a:extLst>
            <a:ext uri="{FF2B5EF4-FFF2-40B4-BE49-F238E27FC236}">
              <a16:creationId xmlns:a16="http://schemas.microsoft.com/office/drawing/2014/main" id="{00000000-0008-0000-0100-000006000000}"/>
            </a:ext>
          </a:extLst>
        </xdr:cNvPr>
        <xdr:cNvSpPr txBox="1"/>
      </xdr:nvSpPr>
      <xdr:spPr>
        <a:xfrm rot="2116208">
          <a:off x="522966" y="1180499"/>
          <a:ext cx="1560958" cy="3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b="1"/>
            <a:t>EA03</a:t>
          </a:r>
        </a:p>
      </xdr:txBody>
    </xdr:sp>
    <xdr:clientData/>
  </xdr:oneCellAnchor>
  <xdr:oneCellAnchor>
    <xdr:from>
      <xdr:col>10</xdr:col>
      <xdr:colOff>214626</xdr:colOff>
      <xdr:row>44</xdr:row>
      <xdr:rowOff>165007</xdr:rowOff>
    </xdr:from>
    <xdr:ext cx="883703" cy="282141"/>
    <xdr:sp macro="" textlink="">
      <xdr:nvSpPr>
        <xdr:cNvPr id="7" name="TextBox 6">
          <a:extLst>
            <a:ext uri="{FF2B5EF4-FFF2-40B4-BE49-F238E27FC236}">
              <a16:creationId xmlns:a16="http://schemas.microsoft.com/office/drawing/2014/main" id="{37E05BC2-B16F-4AF8-87B3-95F9AEEF8BC4}"/>
            </a:ext>
          </a:extLst>
        </xdr:cNvPr>
        <xdr:cNvSpPr txBox="1"/>
      </xdr:nvSpPr>
      <xdr:spPr>
        <a:xfrm>
          <a:off x="2703826" y="3479707"/>
          <a:ext cx="883703" cy="282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b="1"/>
            <a:t>EA09</a:t>
          </a:r>
        </a:p>
      </xdr:txBody>
    </xdr:sp>
    <xdr:clientData/>
  </xdr:oneCellAnchor>
  <xdr:oneCellAnchor>
    <xdr:from>
      <xdr:col>4</xdr:col>
      <xdr:colOff>142875</xdr:colOff>
      <xdr:row>43</xdr:row>
      <xdr:rowOff>85725</xdr:rowOff>
    </xdr:from>
    <xdr:ext cx="508922" cy="280205"/>
    <xdr:sp macro="" textlink="">
      <xdr:nvSpPr>
        <xdr:cNvPr id="8" name="TextBox 7">
          <a:extLst>
            <a:ext uri="{FF2B5EF4-FFF2-40B4-BE49-F238E27FC236}">
              <a16:creationId xmlns:a16="http://schemas.microsoft.com/office/drawing/2014/main" id="{E61C4EF9-1171-41DB-82A6-5F329BEB4E82}"/>
            </a:ext>
          </a:extLst>
        </xdr:cNvPr>
        <xdr:cNvSpPr txBox="1"/>
      </xdr:nvSpPr>
      <xdr:spPr>
        <a:xfrm>
          <a:off x="1146175" y="3197225"/>
          <a:ext cx="5089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200" b="1"/>
            <a:t>EA07</a:t>
          </a:r>
        </a:p>
      </xdr:txBody>
    </xdr:sp>
    <xdr:clientData/>
  </xdr:oneCellAnchor>
  <xdr:oneCellAnchor>
    <xdr:from>
      <xdr:col>8</xdr:col>
      <xdr:colOff>228600</xdr:colOff>
      <xdr:row>42</xdr:row>
      <xdr:rowOff>161925</xdr:rowOff>
    </xdr:from>
    <xdr:ext cx="508922" cy="280205"/>
    <xdr:sp macro="" textlink="">
      <xdr:nvSpPr>
        <xdr:cNvPr id="9" name="TextBox 8">
          <a:extLst>
            <a:ext uri="{FF2B5EF4-FFF2-40B4-BE49-F238E27FC236}">
              <a16:creationId xmlns:a16="http://schemas.microsoft.com/office/drawing/2014/main" id="{E3884BF8-C715-47DC-8245-C7986FAAC3CA}"/>
            </a:ext>
          </a:extLst>
        </xdr:cNvPr>
        <xdr:cNvSpPr txBox="1"/>
      </xdr:nvSpPr>
      <xdr:spPr>
        <a:xfrm>
          <a:off x="2222500" y="3076575"/>
          <a:ext cx="5089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200" b="1"/>
            <a:t>EA06</a:t>
          </a:r>
        </a:p>
      </xdr:txBody>
    </xdr:sp>
    <xdr:clientData/>
  </xdr:oneCellAnchor>
  <xdr:oneCellAnchor>
    <xdr:from>
      <xdr:col>6</xdr:col>
      <xdr:colOff>171450</xdr:colOff>
      <xdr:row>45</xdr:row>
      <xdr:rowOff>28575</xdr:rowOff>
    </xdr:from>
    <xdr:ext cx="481927" cy="264560"/>
    <xdr:sp macro="" textlink="">
      <xdr:nvSpPr>
        <xdr:cNvPr id="10" name="TextBox 9">
          <a:extLst>
            <a:ext uri="{FF2B5EF4-FFF2-40B4-BE49-F238E27FC236}">
              <a16:creationId xmlns:a16="http://schemas.microsoft.com/office/drawing/2014/main" id="{E439A597-64F4-435F-8871-6341E02753ED}"/>
            </a:ext>
          </a:extLst>
        </xdr:cNvPr>
        <xdr:cNvSpPr txBox="1"/>
      </xdr:nvSpPr>
      <xdr:spPr>
        <a:xfrm>
          <a:off x="1670050" y="3546475"/>
          <a:ext cx="48192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EA08</a:t>
          </a:r>
        </a:p>
      </xdr:txBody>
    </xdr:sp>
    <xdr:clientData/>
  </xdr:oneCellAnchor>
  <xdr:oneCellAnchor>
    <xdr:from>
      <xdr:col>2</xdr:col>
      <xdr:colOff>37191</xdr:colOff>
      <xdr:row>35</xdr:row>
      <xdr:rowOff>132749</xdr:rowOff>
    </xdr:from>
    <xdr:ext cx="1560958" cy="318073"/>
    <xdr:sp macro="" textlink="">
      <xdr:nvSpPr>
        <xdr:cNvPr id="11" name="TextBox 10">
          <a:extLst>
            <a:ext uri="{FF2B5EF4-FFF2-40B4-BE49-F238E27FC236}">
              <a16:creationId xmlns:a16="http://schemas.microsoft.com/office/drawing/2014/main" id="{7C448507-770C-48A5-BB95-7DE8490B2C14}"/>
            </a:ext>
          </a:extLst>
        </xdr:cNvPr>
        <xdr:cNvSpPr txBox="1"/>
      </xdr:nvSpPr>
      <xdr:spPr>
        <a:xfrm rot="2116208">
          <a:off x="545191" y="1669449"/>
          <a:ext cx="1560958" cy="3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b="1"/>
            <a:t>EA03</a:t>
          </a:r>
        </a:p>
      </xdr:txBody>
    </xdr:sp>
    <xdr:clientData/>
  </xdr:oneCellAnchor>
  <xdr:oneCellAnchor>
    <xdr:from>
      <xdr:col>10</xdr:col>
      <xdr:colOff>214626</xdr:colOff>
      <xdr:row>44</xdr:row>
      <xdr:rowOff>165007</xdr:rowOff>
    </xdr:from>
    <xdr:ext cx="883703" cy="282141"/>
    <xdr:sp macro="" textlink="">
      <xdr:nvSpPr>
        <xdr:cNvPr id="16" name="TextBox 15">
          <a:extLst>
            <a:ext uri="{FF2B5EF4-FFF2-40B4-BE49-F238E27FC236}">
              <a16:creationId xmlns:a16="http://schemas.microsoft.com/office/drawing/2014/main" id="{D6F8DFF0-3735-4565-9AFC-A6D23C73D7E2}"/>
            </a:ext>
          </a:extLst>
        </xdr:cNvPr>
        <xdr:cNvSpPr txBox="1"/>
      </xdr:nvSpPr>
      <xdr:spPr>
        <a:xfrm>
          <a:off x="2703826" y="3124107"/>
          <a:ext cx="883703" cy="282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b="1"/>
            <a:t>EA09</a:t>
          </a:r>
        </a:p>
      </xdr:txBody>
    </xdr:sp>
    <xdr:clientData/>
  </xdr:oneCellAnchor>
  <xdr:oneCellAnchor>
    <xdr:from>
      <xdr:col>4</xdr:col>
      <xdr:colOff>142875</xdr:colOff>
      <xdr:row>43</xdr:row>
      <xdr:rowOff>85725</xdr:rowOff>
    </xdr:from>
    <xdr:ext cx="508922" cy="280205"/>
    <xdr:sp macro="" textlink="">
      <xdr:nvSpPr>
        <xdr:cNvPr id="17" name="TextBox 16">
          <a:extLst>
            <a:ext uri="{FF2B5EF4-FFF2-40B4-BE49-F238E27FC236}">
              <a16:creationId xmlns:a16="http://schemas.microsoft.com/office/drawing/2014/main" id="{89325E27-3C33-46C3-BD3E-1DAC1452A5C0}"/>
            </a:ext>
          </a:extLst>
        </xdr:cNvPr>
        <xdr:cNvSpPr txBox="1"/>
      </xdr:nvSpPr>
      <xdr:spPr>
        <a:xfrm>
          <a:off x="1146175" y="2847975"/>
          <a:ext cx="5089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200" b="1"/>
            <a:t>EA07</a:t>
          </a:r>
        </a:p>
      </xdr:txBody>
    </xdr:sp>
    <xdr:clientData/>
  </xdr:oneCellAnchor>
  <xdr:oneCellAnchor>
    <xdr:from>
      <xdr:col>8</xdr:col>
      <xdr:colOff>228600</xdr:colOff>
      <xdr:row>42</xdr:row>
      <xdr:rowOff>161925</xdr:rowOff>
    </xdr:from>
    <xdr:ext cx="508922" cy="280205"/>
    <xdr:sp macro="" textlink="">
      <xdr:nvSpPr>
        <xdr:cNvPr id="18" name="TextBox 17">
          <a:extLst>
            <a:ext uri="{FF2B5EF4-FFF2-40B4-BE49-F238E27FC236}">
              <a16:creationId xmlns:a16="http://schemas.microsoft.com/office/drawing/2014/main" id="{3DEBAEBA-B906-464B-9EC3-2F4E4D553F76}"/>
            </a:ext>
          </a:extLst>
        </xdr:cNvPr>
        <xdr:cNvSpPr txBox="1"/>
      </xdr:nvSpPr>
      <xdr:spPr>
        <a:xfrm>
          <a:off x="2222500" y="2727325"/>
          <a:ext cx="5089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200" b="1"/>
            <a:t>EA06</a:t>
          </a:r>
        </a:p>
      </xdr:txBody>
    </xdr:sp>
    <xdr:clientData/>
  </xdr:oneCellAnchor>
  <xdr:oneCellAnchor>
    <xdr:from>
      <xdr:col>6</xdr:col>
      <xdr:colOff>171450</xdr:colOff>
      <xdr:row>45</xdr:row>
      <xdr:rowOff>28575</xdr:rowOff>
    </xdr:from>
    <xdr:ext cx="481927" cy="264560"/>
    <xdr:sp macro="" textlink="">
      <xdr:nvSpPr>
        <xdr:cNvPr id="19" name="TextBox 18">
          <a:extLst>
            <a:ext uri="{FF2B5EF4-FFF2-40B4-BE49-F238E27FC236}">
              <a16:creationId xmlns:a16="http://schemas.microsoft.com/office/drawing/2014/main" id="{F9378EED-965D-43FF-BF85-8B1374D04A59}"/>
            </a:ext>
          </a:extLst>
        </xdr:cNvPr>
        <xdr:cNvSpPr txBox="1"/>
      </xdr:nvSpPr>
      <xdr:spPr>
        <a:xfrm>
          <a:off x="1670050" y="3184525"/>
          <a:ext cx="48192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EA08</a:t>
          </a:r>
        </a:p>
      </xdr:txBody>
    </xdr:sp>
    <xdr:clientData/>
  </xdr:oneCellAnchor>
  <xdr:oneCellAnchor>
    <xdr:from>
      <xdr:col>2</xdr:col>
      <xdr:colOff>37191</xdr:colOff>
      <xdr:row>35</xdr:row>
      <xdr:rowOff>132749</xdr:rowOff>
    </xdr:from>
    <xdr:ext cx="1560958" cy="318073"/>
    <xdr:sp macro="" textlink="">
      <xdr:nvSpPr>
        <xdr:cNvPr id="20" name="TextBox 19">
          <a:extLst>
            <a:ext uri="{FF2B5EF4-FFF2-40B4-BE49-F238E27FC236}">
              <a16:creationId xmlns:a16="http://schemas.microsoft.com/office/drawing/2014/main" id="{127E1D0C-35A1-486A-8206-4C783716C935}"/>
            </a:ext>
          </a:extLst>
        </xdr:cNvPr>
        <xdr:cNvSpPr txBox="1"/>
      </xdr:nvSpPr>
      <xdr:spPr>
        <a:xfrm rot="2116208">
          <a:off x="545191" y="1307499"/>
          <a:ext cx="1560958" cy="3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b="1"/>
            <a:t>EA03</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214626</xdr:colOff>
      <xdr:row>20</xdr:row>
      <xdr:rowOff>165007</xdr:rowOff>
    </xdr:from>
    <xdr:ext cx="883703" cy="282141"/>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186551" y="3232057"/>
          <a:ext cx="883703" cy="282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b="1"/>
            <a:t>EA09</a:t>
          </a:r>
        </a:p>
      </xdr:txBody>
    </xdr:sp>
    <xdr:clientData/>
  </xdr:oneCellAnchor>
  <xdr:oneCellAnchor>
    <xdr:from>
      <xdr:col>4</xdr:col>
      <xdr:colOff>142875</xdr:colOff>
      <xdr:row>19</xdr:row>
      <xdr:rowOff>85725</xdr:rowOff>
    </xdr:from>
    <xdr:ext cx="508922" cy="280205"/>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038225" y="3295650"/>
          <a:ext cx="5089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200" b="1"/>
            <a:t>EA07</a:t>
          </a:r>
        </a:p>
      </xdr:txBody>
    </xdr:sp>
    <xdr:clientData/>
  </xdr:oneCellAnchor>
  <xdr:oneCellAnchor>
    <xdr:from>
      <xdr:col>8</xdr:col>
      <xdr:colOff>228600</xdr:colOff>
      <xdr:row>18</xdr:row>
      <xdr:rowOff>161925</xdr:rowOff>
    </xdr:from>
    <xdr:ext cx="508922" cy="280205"/>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2076450" y="3162300"/>
          <a:ext cx="5089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200" b="1"/>
            <a:t>EA06</a:t>
          </a:r>
        </a:p>
      </xdr:txBody>
    </xdr:sp>
    <xdr:clientData/>
  </xdr:oneCellAnchor>
  <xdr:oneCellAnchor>
    <xdr:from>
      <xdr:col>6</xdr:col>
      <xdr:colOff>171450</xdr:colOff>
      <xdr:row>21</xdr:row>
      <xdr:rowOff>28575</xdr:rowOff>
    </xdr:from>
    <xdr:ext cx="481927" cy="264560"/>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543050" y="3657600"/>
          <a:ext cx="48192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EA08</a:t>
          </a:r>
        </a:p>
      </xdr:txBody>
    </xdr:sp>
    <xdr:clientData/>
  </xdr:oneCellAnchor>
  <xdr:oneCellAnchor>
    <xdr:from>
      <xdr:col>2</xdr:col>
      <xdr:colOff>57783</xdr:colOff>
      <xdr:row>11</xdr:row>
      <xdr:rowOff>103905</xdr:rowOff>
    </xdr:from>
    <xdr:ext cx="1449628" cy="282141"/>
    <xdr:sp macro="" textlink="">
      <xdr:nvSpPr>
        <xdr:cNvPr id="6" name="TextBox 5">
          <a:extLst>
            <a:ext uri="{FF2B5EF4-FFF2-40B4-BE49-F238E27FC236}">
              <a16:creationId xmlns:a16="http://schemas.microsoft.com/office/drawing/2014/main" id="{00000000-0008-0000-0800-000006000000}"/>
            </a:ext>
          </a:extLst>
        </xdr:cNvPr>
        <xdr:cNvSpPr txBox="1"/>
      </xdr:nvSpPr>
      <xdr:spPr>
        <a:xfrm rot="2116208">
          <a:off x="2124708" y="1351680"/>
          <a:ext cx="1449628" cy="282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b="1"/>
            <a:t>EA03</a:t>
          </a:r>
        </a:p>
      </xdr:txBody>
    </xdr:sp>
    <xdr:clientData/>
  </xdr:oneCellAnchor>
  <xdr:oneCellAnchor>
    <xdr:from>
      <xdr:col>10</xdr:col>
      <xdr:colOff>214626</xdr:colOff>
      <xdr:row>43</xdr:row>
      <xdr:rowOff>165007</xdr:rowOff>
    </xdr:from>
    <xdr:ext cx="883703" cy="282141"/>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4186551" y="3393982"/>
          <a:ext cx="883703" cy="282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b="1"/>
            <a:t>EA09</a:t>
          </a:r>
        </a:p>
      </xdr:txBody>
    </xdr:sp>
    <xdr:clientData/>
  </xdr:oneCellAnchor>
  <xdr:oneCellAnchor>
    <xdr:from>
      <xdr:col>4</xdr:col>
      <xdr:colOff>142875</xdr:colOff>
      <xdr:row>42</xdr:row>
      <xdr:rowOff>85725</xdr:rowOff>
    </xdr:from>
    <xdr:ext cx="508922" cy="280205"/>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038225" y="9315450"/>
          <a:ext cx="5089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200" b="1"/>
            <a:t>EA07</a:t>
          </a:r>
        </a:p>
      </xdr:txBody>
    </xdr:sp>
    <xdr:clientData/>
  </xdr:oneCellAnchor>
  <xdr:oneCellAnchor>
    <xdr:from>
      <xdr:col>8</xdr:col>
      <xdr:colOff>228600</xdr:colOff>
      <xdr:row>41</xdr:row>
      <xdr:rowOff>161925</xdr:rowOff>
    </xdr:from>
    <xdr:ext cx="508922" cy="280205"/>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2076450" y="9182100"/>
          <a:ext cx="5089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200" b="1"/>
            <a:t>EA06</a:t>
          </a:r>
        </a:p>
      </xdr:txBody>
    </xdr:sp>
    <xdr:clientData/>
  </xdr:oneCellAnchor>
  <xdr:oneCellAnchor>
    <xdr:from>
      <xdr:col>6</xdr:col>
      <xdr:colOff>171450</xdr:colOff>
      <xdr:row>44</xdr:row>
      <xdr:rowOff>28575</xdr:rowOff>
    </xdr:from>
    <xdr:ext cx="481927" cy="264560"/>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1543050" y="9677400"/>
          <a:ext cx="48192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EA08</a:t>
          </a:r>
        </a:p>
      </xdr:txBody>
    </xdr:sp>
    <xdr:clientData/>
  </xdr:oneCellAnchor>
  <xdr:oneCellAnchor>
    <xdr:from>
      <xdr:col>2</xdr:col>
      <xdr:colOff>57783</xdr:colOff>
      <xdr:row>34</xdr:row>
      <xdr:rowOff>103905</xdr:rowOff>
    </xdr:from>
    <xdr:ext cx="1449628" cy="282141"/>
    <xdr:sp macro="" textlink="">
      <xdr:nvSpPr>
        <xdr:cNvPr id="11" name="TextBox 10">
          <a:extLst>
            <a:ext uri="{FF2B5EF4-FFF2-40B4-BE49-F238E27FC236}">
              <a16:creationId xmlns:a16="http://schemas.microsoft.com/office/drawing/2014/main" id="{00000000-0008-0000-0800-00000B000000}"/>
            </a:ext>
          </a:extLst>
        </xdr:cNvPr>
        <xdr:cNvSpPr txBox="1"/>
      </xdr:nvSpPr>
      <xdr:spPr>
        <a:xfrm rot="2116208">
          <a:off x="2124708" y="1513605"/>
          <a:ext cx="1449628" cy="282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b="1"/>
            <a:t>EA03</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162353</xdr:colOff>
      <xdr:row>12</xdr:row>
      <xdr:rowOff>100386</xdr:rowOff>
    </xdr:from>
    <xdr:ext cx="1140523" cy="282141"/>
    <xdr:sp macro="" textlink="">
      <xdr:nvSpPr>
        <xdr:cNvPr id="2" name="TextBox 1">
          <a:extLst>
            <a:ext uri="{FF2B5EF4-FFF2-40B4-BE49-F238E27FC236}">
              <a16:creationId xmlns:a16="http://schemas.microsoft.com/office/drawing/2014/main" id="{00000000-0008-0000-0200-000002000000}"/>
            </a:ext>
          </a:extLst>
        </xdr:cNvPr>
        <xdr:cNvSpPr txBox="1"/>
      </xdr:nvSpPr>
      <xdr:spPr>
        <a:xfrm rot="2116208">
          <a:off x="2229278" y="1500561"/>
          <a:ext cx="1140523" cy="282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b="1"/>
            <a:t>EA03</a:t>
          </a:r>
        </a:p>
      </xdr:txBody>
    </xdr:sp>
    <xdr:clientData/>
  </xdr:oneCellAnchor>
  <xdr:oneCellAnchor>
    <xdr:from>
      <xdr:col>10</xdr:col>
      <xdr:colOff>214626</xdr:colOff>
      <xdr:row>21</xdr:row>
      <xdr:rowOff>165007</xdr:rowOff>
    </xdr:from>
    <xdr:ext cx="883703" cy="282141"/>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186551" y="3365407"/>
          <a:ext cx="883703" cy="282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b="1"/>
            <a:t>EA09</a:t>
          </a:r>
        </a:p>
      </xdr:txBody>
    </xdr:sp>
    <xdr:clientData/>
  </xdr:oneCellAnchor>
  <xdr:oneCellAnchor>
    <xdr:from>
      <xdr:col>4</xdr:col>
      <xdr:colOff>142875</xdr:colOff>
      <xdr:row>20</xdr:row>
      <xdr:rowOff>85725</xdr:rowOff>
    </xdr:from>
    <xdr:ext cx="508922" cy="280205"/>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209675" y="3276600"/>
          <a:ext cx="5089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200" b="1"/>
            <a:t>EA07</a:t>
          </a:r>
        </a:p>
      </xdr:txBody>
    </xdr:sp>
    <xdr:clientData/>
  </xdr:oneCellAnchor>
  <xdr:oneCellAnchor>
    <xdr:from>
      <xdr:col>8</xdr:col>
      <xdr:colOff>228600</xdr:colOff>
      <xdr:row>19</xdr:row>
      <xdr:rowOff>161925</xdr:rowOff>
    </xdr:from>
    <xdr:ext cx="508922" cy="280205"/>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2247900" y="3152775"/>
          <a:ext cx="5089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200" b="1"/>
            <a:t>EA06</a:t>
          </a:r>
        </a:p>
      </xdr:txBody>
    </xdr:sp>
    <xdr:clientData/>
  </xdr:oneCellAnchor>
  <xdr:oneCellAnchor>
    <xdr:from>
      <xdr:col>6</xdr:col>
      <xdr:colOff>161925</xdr:colOff>
      <xdr:row>22</xdr:row>
      <xdr:rowOff>85725</xdr:rowOff>
    </xdr:from>
    <xdr:ext cx="481927"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704975" y="3676650"/>
          <a:ext cx="48192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b="1"/>
            <a:t>EA08</a:t>
          </a:r>
        </a:p>
      </xdr:txBody>
    </xdr:sp>
    <xdr:clientData/>
  </xdr:oneCellAnchor>
  <xdr:twoCellAnchor>
    <xdr:from>
      <xdr:col>0</xdr:col>
      <xdr:colOff>285750</xdr:colOff>
      <xdr:row>11</xdr:row>
      <xdr:rowOff>0</xdr:rowOff>
    </xdr:from>
    <xdr:to>
      <xdr:col>10</xdr:col>
      <xdr:colOff>104775</xdr:colOff>
      <xdr:row>26</xdr:row>
      <xdr:rowOff>9525</xdr:rowOff>
    </xdr:to>
    <xdr:sp macro="" textlink="">
      <xdr:nvSpPr>
        <xdr:cNvPr id="7" name="Freeform 6">
          <a:extLst>
            <a:ext uri="{FF2B5EF4-FFF2-40B4-BE49-F238E27FC236}">
              <a16:creationId xmlns:a16="http://schemas.microsoft.com/office/drawing/2014/main" id="{00000000-0008-0000-0200-000007000000}"/>
            </a:ext>
          </a:extLst>
        </xdr:cNvPr>
        <xdr:cNvSpPr/>
      </xdr:nvSpPr>
      <xdr:spPr>
        <a:xfrm rot="508357">
          <a:off x="285750" y="1381125"/>
          <a:ext cx="2314575" cy="3038475"/>
        </a:xfrm>
        <a:custGeom>
          <a:avLst/>
          <a:gdLst>
            <a:gd name="connsiteX0" fmla="*/ 0 w 2743200"/>
            <a:gd name="connsiteY0" fmla="*/ 0 h 3533775"/>
            <a:gd name="connsiteX1" fmla="*/ 1924050 w 2743200"/>
            <a:gd name="connsiteY1" fmla="*/ 1095375 h 3533775"/>
            <a:gd name="connsiteX2" fmla="*/ 2647950 w 2743200"/>
            <a:gd name="connsiteY2" fmla="*/ 3295650 h 3533775"/>
            <a:gd name="connsiteX3" fmla="*/ 2743200 w 2743200"/>
            <a:gd name="connsiteY3" fmla="*/ 3533775 h 3533775"/>
          </a:gdLst>
          <a:ahLst/>
          <a:cxnLst>
            <a:cxn ang="0">
              <a:pos x="connsiteX0" y="connsiteY0"/>
            </a:cxn>
            <a:cxn ang="0">
              <a:pos x="connsiteX1" y="connsiteY1"/>
            </a:cxn>
            <a:cxn ang="0">
              <a:pos x="connsiteX2" y="connsiteY2"/>
            </a:cxn>
            <a:cxn ang="0">
              <a:pos x="connsiteX3" y="connsiteY3"/>
            </a:cxn>
          </a:cxnLst>
          <a:rect l="l" t="t" r="r" b="b"/>
          <a:pathLst>
            <a:path w="2743200" h="3533775">
              <a:moveTo>
                <a:pt x="0" y="0"/>
              </a:moveTo>
              <a:cubicBezTo>
                <a:pt x="741362" y="273050"/>
                <a:pt x="1482725" y="546100"/>
                <a:pt x="1924050" y="1095375"/>
              </a:cubicBezTo>
              <a:cubicBezTo>
                <a:pt x="2365375" y="1644650"/>
                <a:pt x="2511425" y="2889250"/>
                <a:pt x="2647950" y="3295650"/>
              </a:cubicBezTo>
              <a:cubicBezTo>
                <a:pt x="2784475" y="3702050"/>
                <a:pt x="2692400" y="3435350"/>
                <a:pt x="2743200" y="3533775"/>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123825</xdr:colOff>
      <xdr:row>7</xdr:row>
      <xdr:rowOff>95250</xdr:rowOff>
    </xdr:from>
    <xdr:to>
      <xdr:col>17</xdr:col>
      <xdr:colOff>9525</xdr:colOff>
      <xdr:row>25</xdr:row>
      <xdr:rowOff>0</xdr:rowOff>
    </xdr:to>
    <xdr:sp macro="" textlink="">
      <xdr:nvSpPr>
        <xdr:cNvPr id="8" name="Freeform 7">
          <a:extLst>
            <a:ext uri="{FF2B5EF4-FFF2-40B4-BE49-F238E27FC236}">
              <a16:creationId xmlns:a16="http://schemas.microsoft.com/office/drawing/2014/main" id="{00000000-0008-0000-0200-000008000000}"/>
            </a:ext>
          </a:extLst>
        </xdr:cNvPr>
        <xdr:cNvSpPr/>
      </xdr:nvSpPr>
      <xdr:spPr>
        <a:xfrm>
          <a:off x="1428750" y="476250"/>
          <a:ext cx="2743200" cy="3724275"/>
        </a:xfrm>
        <a:custGeom>
          <a:avLst/>
          <a:gdLst>
            <a:gd name="connsiteX0" fmla="*/ 0 w 2743200"/>
            <a:gd name="connsiteY0" fmla="*/ 0 h 3533775"/>
            <a:gd name="connsiteX1" fmla="*/ 1924050 w 2743200"/>
            <a:gd name="connsiteY1" fmla="*/ 1095375 h 3533775"/>
            <a:gd name="connsiteX2" fmla="*/ 2647950 w 2743200"/>
            <a:gd name="connsiteY2" fmla="*/ 3295650 h 3533775"/>
            <a:gd name="connsiteX3" fmla="*/ 2743200 w 2743200"/>
            <a:gd name="connsiteY3" fmla="*/ 3533775 h 3533775"/>
          </a:gdLst>
          <a:ahLst/>
          <a:cxnLst>
            <a:cxn ang="0">
              <a:pos x="connsiteX0" y="connsiteY0"/>
            </a:cxn>
            <a:cxn ang="0">
              <a:pos x="connsiteX1" y="connsiteY1"/>
            </a:cxn>
            <a:cxn ang="0">
              <a:pos x="connsiteX2" y="connsiteY2"/>
            </a:cxn>
            <a:cxn ang="0">
              <a:pos x="connsiteX3" y="connsiteY3"/>
            </a:cxn>
          </a:cxnLst>
          <a:rect l="l" t="t" r="r" b="b"/>
          <a:pathLst>
            <a:path w="2743200" h="3533775">
              <a:moveTo>
                <a:pt x="0" y="0"/>
              </a:moveTo>
              <a:cubicBezTo>
                <a:pt x="741362" y="273050"/>
                <a:pt x="1482725" y="546100"/>
                <a:pt x="1924050" y="1095375"/>
              </a:cubicBezTo>
              <a:cubicBezTo>
                <a:pt x="2365375" y="1644650"/>
                <a:pt x="2511425" y="2889250"/>
                <a:pt x="2647950" y="3295650"/>
              </a:cubicBezTo>
              <a:cubicBezTo>
                <a:pt x="2784475" y="3702050"/>
                <a:pt x="2692400" y="3435350"/>
                <a:pt x="2743200" y="3533775"/>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3</xdr:col>
      <xdr:colOff>106886</xdr:colOff>
      <xdr:row>17</xdr:row>
      <xdr:rowOff>188389</xdr:rowOff>
    </xdr:from>
    <xdr:ext cx="342786" cy="1928157"/>
    <xdr:sp macro="" textlink="">
      <xdr:nvSpPr>
        <xdr:cNvPr id="9" name="TextBox 8">
          <a:extLst>
            <a:ext uri="{FF2B5EF4-FFF2-40B4-BE49-F238E27FC236}">
              <a16:creationId xmlns:a16="http://schemas.microsoft.com/office/drawing/2014/main" id="{00000000-0008-0000-0200-000009000000}"/>
            </a:ext>
          </a:extLst>
        </xdr:cNvPr>
        <xdr:cNvSpPr txBox="1"/>
      </xdr:nvSpPr>
      <xdr:spPr>
        <a:xfrm rot="2870353">
          <a:off x="1619250" y="3381375"/>
          <a:ext cx="1928157"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b="1">
              <a:solidFill>
                <a:srgbClr val="0070C0"/>
              </a:solidFill>
            </a:rPr>
            <a:t>Rainfall = 150mm/yr</a:t>
          </a:r>
        </a:p>
      </xdr:txBody>
    </xdr:sp>
    <xdr:clientData/>
  </xdr:oneCellAnchor>
  <xdr:oneCellAnchor>
    <xdr:from>
      <xdr:col>10</xdr:col>
      <xdr:colOff>2111</xdr:colOff>
      <xdr:row>11</xdr:row>
      <xdr:rowOff>102663</xdr:rowOff>
    </xdr:from>
    <xdr:ext cx="342786" cy="1928157"/>
    <xdr:sp macro="" textlink="">
      <xdr:nvSpPr>
        <xdr:cNvPr id="10" name="TextBox 9">
          <a:extLst>
            <a:ext uri="{FF2B5EF4-FFF2-40B4-BE49-F238E27FC236}">
              <a16:creationId xmlns:a16="http://schemas.microsoft.com/office/drawing/2014/main" id="{00000000-0008-0000-0200-00000A000000}"/>
            </a:ext>
          </a:extLst>
        </xdr:cNvPr>
        <xdr:cNvSpPr txBox="1"/>
      </xdr:nvSpPr>
      <xdr:spPr>
        <a:xfrm rot="3880120">
          <a:off x="3181350" y="2085974"/>
          <a:ext cx="1928157"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b="1">
              <a:solidFill>
                <a:srgbClr val="0070C0"/>
              </a:solidFill>
            </a:rPr>
            <a:t>Rainfall = 170mm/yr</a:t>
          </a:r>
        </a:p>
      </xdr:txBody>
    </xdr:sp>
    <xdr:clientData/>
  </xdr:oneCellAnchor>
  <xdr:oneCellAnchor>
    <xdr:from>
      <xdr:col>14</xdr:col>
      <xdr:colOff>226898</xdr:colOff>
      <xdr:row>9</xdr:row>
      <xdr:rowOff>7413</xdr:rowOff>
    </xdr:from>
    <xdr:ext cx="342786" cy="1928157"/>
    <xdr:sp macro="" textlink="">
      <xdr:nvSpPr>
        <xdr:cNvPr id="11" name="TextBox 10">
          <a:extLst>
            <a:ext uri="{FF2B5EF4-FFF2-40B4-BE49-F238E27FC236}">
              <a16:creationId xmlns:a16="http://schemas.microsoft.com/office/drawing/2014/main" id="{00000000-0008-0000-0200-00000B000000}"/>
            </a:ext>
          </a:extLst>
        </xdr:cNvPr>
        <xdr:cNvSpPr txBox="1"/>
      </xdr:nvSpPr>
      <xdr:spPr>
        <a:xfrm rot="4908021">
          <a:off x="2962272" y="1356359"/>
          <a:ext cx="1928157"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b="1">
              <a:solidFill>
                <a:srgbClr val="0070C0"/>
              </a:solidFill>
            </a:rPr>
            <a:t>Rainfall = 190mm/yr</a:t>
          </a:r>
        </a:p>
      </xdr:txBody>
    </xdr:sp>
    <xdr:clientData/>
  </xdr:oneCellAnchor>
  <xdr:twoCellAnchor>
    <xdr:from>
      <xdr:col>16</xdr:col>
      <xdr:colOff>57150</xdr:colOff>
      <xdr:row>9</xdr:row>
      <xdr:rowOff>152400</xdr:rowOff>
    </xdr:from>
    <xdr:to>
      <xdr:col>17</xdr:col>
      <xdr:colOff>533401</xdr:colOff>
      <xdr:row>10</xdr:row>
      <xdr:rowOff>152400</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flipH="1">
          <a:off x="3981450" y="1114425"/>
          <a:ext cx="714376" cy="209550"/>
        </a:xfrm>
        <a:prstGeom prst="straightConnector1">
          <a:avLst/>
        </a:prstGeom>
        <a:ln w="15875">
          <a:no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161925</xdr:colOff>
      <xdr:row>13</xdr:row>
      <xdr:rowOff>0</xdr:rowOff>
    </xdr:from>
    <xdr:to>
      <xdr:col>11</xdr:col>
      <xdr:colOff>200025</xdr:colOff>
      <xdr:row>15</xdr:row>
      <xdr:rowOff>0</xdr:rowOff>
    </xdr:to>
    <xdr:sp macro="" textlink="">
      <xdr:nvSpPr>
        <xdr:cNvPr id="30" name="Arrow: Right 29">
          <a:extLst>
            <a:ext uri="{FF2B5EF4-FFF2-40B4-BE49-F238E27FC236}">
              <a16:creationId xmlns:a16="http://schemas.microsoft.com/office/drawing/2014/main" id="{9554809E-8D1A-483D-8B6C-298356343E3A}"/>
            </a:ext>
          </a:extLst>
        </xdr:cNvPr>
        <xdr:cNvSpPr/>
      </xdr:nvSpPr>
      <xdr:spPr>
        <a:xfrm>
          <a:off x="2019300" y="8343900"/>
          <a:ext cx="752475" cy="409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30%</a:t>
          </a:r>
        </a:p>
      </xdr:txBody>
    </xdr:sp>
    <xdr:clientData/>
  </xdr:twoCellAnchor>
  <xdr:twoCellAnchor>
    <xdr:from>
      <xdr:col>11</xdr:col>
      <xdr:colOff>114301</xdr:colOff>
      <xdr:row>20</xdr:row>
      <xdr:rowOff>171449</xdr:rowOff>
    </xdr:from>
    <xdr:to>
      <xdr:col>13</xdr:col>
      <xdr:colOff>66676</xdr:colOff>
      <xdr:row>23</xdr:row>
      <xdr:rowOff>123824</xdr:rowOff>
    </xdr:to>
    <xdr:sp macro="" textlink="">
      <xdr:nvSpPr>
        <xdr:cNvPr id="31" name="Arrow: Left 30">
          <a:extLst>
            <a:ext uri="{FF2B5EF4-FFF2-40B4-BE49-F238E27FC236}">
              <a16:creationId xmlns:a16="http://schemas.microsoft.com/office/drawing/2014/main" id="{D4347991-6E2F-45CF-AF10-7D4E142AB663}"/>
            </a:ext>
          </a:extLst>
        </xdr:cNvPr>
        <xdr:cNvSpPr/>
      </xdr:nvSpPr>
      <xdr:spPr>
        <a:xfrm rot="16200000">
          <a:off x="2619376" y="10010774"/>
          <a:ext cx="561975" cy="428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50%</a:t>
          </a:r>
        </a:p>
      </xdr:txBody>
    </xdr:sp>
    <xdr:clientData/>
  </xdr:twoCellAnchor>
  <xdr:twoCellAnchor>
    <xdr:from>
      <xdr:col>15</xdr:col>
      <xdr:colOff>28576</xdr:colOff>
      <xdr:row>16</xdr:row>
      <xdr:rowOff>190500</xdr:rowOff>
    </xdr:from>
    <xdr:to>
      <xdr:col>16</xdr:col>
      <xdr:colOff>219076</xdr:colOff>
      <xdr:row>20</xdr:row>
      <xdr:rowOff>66674</xdr:rowOff>
    </xdr:to>
    <xdr:sp macro="" textlink="">
      <xdr:nvSpPr>
        <xdr:cNvPr id="32" name="Arrow: Right 31">
          <a:extLst>
            <a:ext uri="{FF2B5EF4-FFF2-40B4-BE49-F238E27FC236}">
              <a16:creationId xmlns:a16="http://schemas.microsoft.com/office/drawing/2014/main" id="{A4A6CED2-33A3-43E8-A8D5-344AA8DF03B8}"/>
            </a:ext>
          </a:extLst>
        </xdr:cNvPr>
        <xdr:cNvSpPr/>
      </xdr:nvSpPr>
      <xdr:spPr>
        <a:xfrm rot="16200000">
          <a:off x="3419477" y="9277349"/>
          <a:ext cx="695324" cy="428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50%</a:t>
          </a:r>
        </a:p>
      </xdr:txBody>
    </xdr:sp>
    <xdr:clientData/>
  </xdr:twoCellAnchor>
  <xdr:twoCellAnchor>
    <xdr:from>
      <xdr:col>7</xdr:col>
      <xdr:colOff>57151</xdr:colOff>
      <xdr:row>15</xdr:row>
      <xdr:rowOff>152399</xdr:rowOff>
    </xdr:from>
    <xdr:to>
      <xdr:col>9</xdr:col>
      <xdr:colOff>9526</xdr:colOff>
      <xdr:row>18</xdr:row>
      <xdr:rowOff>104774</xdr:rowOff>
    </xdr:to>
    <xdr:sp macro="" textlink="">
      <xdr:nvSpPr>
        <xdr:cNvPr id="33" name="Arrow: Left 32">
          <a:extLst>
            <a:ext uri="{FF2B5EF4-FFF2-40B4-BE49-F238E27FC236}">
              <a16:creationId xmlns:a16="http://schemas.microsoft.com/office/drawing/2014/main" id="{5BF41E7E-3CB8-4C17-AA38-392FE122AE41}"/>
            </a:ext>
          </a:extLst>
        </xdr:cNvPr>
        <xdr:cNvSpPr/>
      </xdr:nvSpPr>
      <xdr:spPr>
        <a:xfrm rot="16993818">
          <a:off x="1609726" y="8972549"/>
          <a:ext cx="561975" cy="428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70%</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E3715-D68E-4BEF-BD34-203223F51C1B}">
  <dimension ref="B2:U36"/>
  <sheetViews>
    <sheetView topLeftCell="A15" workbookViewId="0">
      <selection activeCell="M34" sqref="M34"/>
    </sheetView>
  </sheetViews>
  <sheetFormatPr defaultColWidth="9.140625" defaultRowHeight="14.45"/>
  <cols>
    <col min="1" max="1" width="9.140625" style="333"/>
    <col min="2" max="2" width="27.42578125" style="333" customWidth="1"/>
    <col min="3" max="16384" width="9.140625" style="333"/>
  </cols>
  <sheetData>
    <row r="2" spans="2:12" ht="21">
      <c r="B2" s="332" t="s">
        <v>0</v>
      </c>
    </row>
    <row r="4" spans="2:12" ht="15" thickBot="1">
      <c r="B4" s="334" t="s">
        <v>1</v>
      </c>
    </row>
    <row r="5" spans="2:12">
      <c r="B5" s="347" t="s">
        <v>2</v>
      </c>
      <c r="C5" s="348"/>
      <c r="D5" s="348"/>
      <c r="E5" s="348"/>
      <c r="F5" s="348"/>
      <c r="G5" s="348"/>
      <c r="H5" s="348"/>
      <c r="I5" s="348"/>
      <c r="J5" s="348"/>
      <c r="K5" s="348"/>
      <c r="L5" s="349"/>
    </row>
    <row r="6" spans="2:12">
      <c r="B6" s="350"/>
      <c r="C6" s="351"/>
      <c r="D6" s="351"/>
      <c r="E6" s="351"/>
      <c r="F6" s="351"/>
      <c r="G6" s="351"/>
      <c r="H6" s="351"/>
      <c r="I6" s="351"/>
      <c r="J6" s="351"/>
      <c r="K6" s="351"/>
      <c r="L6" s="352"/>
    </row>
    <row r="7" spans="2:12">
      <c r="B7" s="350"/>
      <c r="C7" s="351"/>
      <c r="D7" s="351"/>
      <c r="E7" s="351"/>
      <c r="F7" s="351"/>
      <c r="G7" s="351"/>
      <c r="H7" s="351"/>
      <c r="I7" s="351"/>
      <c r="J7" s="351"/>
      <c r="K7" s="351"/>
      <c r="L7" s="352"/>
    </row>
    <row r="8" spans="2:12">
      <c r="B8" s="350"/>
      <c r="C8" s="351"/>
      <c r="D8" s="351"/>
      <c r="E8" s="351"/>
      <c r="F8" s="351"/>
      <c r="G8" s="351"/>
      <c r="H8" s="351"/>
      <c r="I8" s="351"/>
      <c r="J8" s="351"/>
      <c r="K8" s="351"/>
      <c r="L8" s="352"/>
    </row>
    <row r="9" spans="2:12">
      <c r="B9" s="350"/>
      <c r="C9" s="351"/>
      <c r="D9" s="351"/>
      <c r="E9" s="351"/>
      <c r="F9" s="351"/>
      <c r="G9" s="351"/>
      <c r="H9" s="351"/>
      <c r="I9" s="351"/>
      <c r="J9" s="351"/>
      <c r="K9" s="351"/>
      <c r="L9" s="352"/>
    </row>
    <row r="10" spans="2:12">
      <c r="B10" s="350"/>
      <c r="C10" s="351"/>
      <c r="D10" s="351"/>
      <c r="E10" s="351"/>
      <c r="F10" s="351"/>
      <c r="G10" s="351"/>
      <c r="H10" s="351"/>
      <c r="I10" s="351"/>
      <c r="J10" s="351"/>
      <c r="K10" s="351"/>
      <c r="L10" s="352"/>
    </row>
    <row r="11" spans="2:12">
      <c r="B11" s="350"/>
      <c r="C11" s="351"/>
      <c r="D11" s="351"/>
      <c r="E11" s="351"/>
      <c r="F11" s="351"/>
      <c r="G11" s="351"/>
      <c r="H11" s="351"/>
      <c r="I11" s="351"/>
      <c r="J11" s="351"/>
      <c r="K11" s="351"/>
      <c r="L11" s="352"/>
    </row>
    <row r="12" spans="2:12" ht="30.75" customHeight="1" thickBot="1">
      <c r="B12" s="353"/>
      <c r="C12" s="354"/>
      <c r="D12" s="354"/>
      <c r="E12" s="354"/>
      <c r="F12" s="354"/>
      <c r="G12" s="354"/>
      <c r="H12" s="354"/>
      <c r="I12" s="354"/>
      <c r="J12" s="354"/>
      <c r="K12" s="354"/>
      <c r="L12" s="355"/>
    </row>
    <row r="14" spans="2:12" ht="15" thickBot="1">
      <c r="B14" s="334" t="s">
        <v>3</v>
      </c>
    </row>
    <row r="15" spans="2:12" ht="264.75" customHeight="1" thickBot="1">
      <c r="B15" s="356" t="s">
        <v>4</v>
      </c>
      <c r="C15" s="357"/>
      <c r="D15" s="357"/>
      <c r="E15" s="357"/>
      <c r="F15" s="357"/>
      <c r="G15" s="357"/>
      <c r="H15" s="357"/>
      <c r="I15" s="357"/>
      <c r="J15" s="357"/>
      <c r="K15" s="357"/>
      <c r="L15" s="358"/>
    </row>
    <row r="16" spans="2:12">
      <c r="B16" s="335"/>
      <c r="C16" s="335"/>
      <c r="D16" s="335"/>
      <c r="E16" s="335"/>
      <c r="F16" s="335"/>
      <c r="G16" s="335"/>
      <c r="H16" s="335"/>
      <c r="I16" s="335"/>
      <c r="J16" s="335"/>
      <c r="K16" s="335"/>
      <c r="L16" s="335"/>
    </row>
    <row r="18" spans="2:21">
      <c r="B18" s="59" t="s">
        <v>5</v>
      </c>
      <c r="C18" s="54"/>
      <c r="D18" s="54"/>
      <c r="E18" s="54"/>
      <c r="F18" s="54"/>
      <c r="G18" s="54"/>
      <c r="H18" s="54"/>
      <c r="I18" s="54"/>
      <c r="J18" s="341"/>
      <c r="K18" s="341"/>
      <c r="L18" s="341"/>
      <c r="M18" s="341"/>
      <c r="N18" s="341"/>
      <c r="O18" s="341"/>
      <c r="P18" s="341"/>
      <c r="Q18" s="341"/>
      <c r="R18" s="341"/>
      <c r="S18" s="341"/>
      <c r="T18" s="341"/>
      <c r="U18" s="341"/>
    </row>
    <row r="19" spans="2:21" ht="101.1">
      <c r="B19" s="339"/>
      <c r="C19" s="336" t="s">
        <v>6</v>
      </c>
      <c r="D19" s="120" t="s">
        <v>7</v>
      </c>
      <c r="E19" s="121" t="s">
        <v>8</v>
      </c>
      <c r="F19" s="122" t="s">
        <v>9</v>
      </c>
      <c r="G19" s="337" t="s">
        <v>10</v>
      </c>
      <c r="H19" s="338" t="s">
        <v>11</v>
      </c>
      <c r="I19" s="80" t="s">
        <v>12</v>
      </c>
      <c r="J19" s="341"/>
      <c r="K19" s="341"/>
      <c r="U19" s="341"/>
    </row>
    <row r="20" spans="2:21">
      <c r="B20" s="340" t="s">
        <v>13</v>
      </c>
      <c r="C20" s="167">
        <v>20</v>
      </c>
      <c r="D20" s="167">
        <v>153</v>
      </c>
      <c r="E20" s="167">
        <v>90</v>
      </c>
      <c r="F20" s="167">
        <v>19</v>
      </c>
      <c r="G20" s="167">
        <v>6</v>
      </c>
      <c r="H20" s="167">
        <v>0</v>
      </c>
      <c r="I20" s="168">
        <v>288</v>
      </c>
      <c r="J20" s="341"/>
      <c r="K20" s="341"/>
      <c r="U20" s="341"/>
    </row>
    <row r="21" spans="2:21" ht="15" customHeight="1">
      <c r="B21" s="340" t="s">
        <v>14</v>
      </c>
      <c r="C21" s="167">
        <v>3</v>
      </c>
      <c r="D21" s="167">
        <v>3</v>
      </c>
      <c r="E21" s="167">
        <v>8</v>
      </c>
      <c r="F21" s="167">
        <v>0</v>
      </c>
      <c r="G21" s="167">
        <v>0</v>
      </c>
      <c r="H21" s="167">
        <v>0</v>
      </c>
      <c r="I21" s="168">
        <v>14</v>
      </c>
      <c r="J21" s="341"/>
      <c r="K21" s="341"/>
      <c r="U21" s="341"/>
    </row>
    <row r="22" spans="2:21">
      <c r="B22" s="340" t="s">
        <v>15</v>
      </c>
      <c r="C22" s="167">
        <v>0</v>
      </c>
      <c r="D22" s="167">
        <v>11</v>
      </c>
      <c r="E22" s="167">
        <v>2</v>
      </c>
      <c r="F22" s="167">
        <v>0</v>
      </c>
      <c r="G22" s="167">
        <v>1</v>
      </c>
      <c r="H22" s="167">
        <v>0</v>
      </c>
      <c r="I22" s="168">
        <v>14</v>
      </c>
      <c r="J22" s="341"/>
      <c r="K22" s="341"/>
      <c r="U22" s="341"/>
    </row>
    <row r="23" spans="2:21">
      <c r="B23" s="340" t="s">
        <v>16</v>
      </c>
      <c r="C23" s="167">
        <v>23</v>
      </c>
      <c r="D23" s="167">
        <v>145</v>
      </c>
      <c r="E23" s="167">
        <v>96</v>
      </c>
      <c r="F23" s="167">
        <v>19</v>
      </c>
      <c r="G23" s="167">
        <v>5</v>
      </c>
      <c r="H23" s="167">
        <v>0</v>
      </c>
      <c r="I23" s="168">
        <v>288</v>
      </c>
      <c r="J23" s="341"/>
      <c r="K23" s="341"/>
      <c r="U23" s="341"/>
    </row>
    <row r="24" spans="2:21">
      <c r="B24" s="342"/>
      <c r="C24" s="341"/>
      <c r="D24" s="341"/>
      <c r="E24" s="341"/>
      <c r="F24" s="341"/>
      <c r="G24" s="341"/>
      <c r="H24" s="341"/>
      <c r="I24" s="341"/>
      <c r="J24" s="341"/>
      <c r="K24" s="341"/>
      <c r="U24" s="341"/>
    </row>
    <row r="25" spans="2:21">
      <c r="B25" s="341"/>
      <c r="C25" s="341"/>
      <c r="D25" s="341"/>
      <c r="E25" s="341"/>
      <c r="F25" s="341"/>
      <c r="G25" s="341"/>
      <c r="H25" s="341"/>
      <c r="I25" s="341"/>
      <c r="J25" s="341"/>
      <c r="K25" s="341"/>
      <c r="U25" s="341"/>
    </row>
    <row r="26" spans="2:21">
      <c r="B26" s="343" t="s">
        <v>17</v>
      </c>
      <c r="C26" s="341"/>
      <c r="D26" s="341"/>
      <c r="E26" s="341"/>
      <c r="F26" s="341"/>
      <c r="G26" s="341"/>
      <c r="H26" s="341"/>
      <c r="I26" s="341"/>
    </row>
    <row r="27" spans="2:21">
      <c r="B27" s="54"/>
      <c r="C27" s="359" t="s">
        <v>18</v>
      </c>
      <c r="D27" s="359"/>
      <c r="E27" s="359"/>
      <c r="F27" s="359"/>
      <c r="G27" s="359"/>
      <c r="H27" s="359"/>
      <c r="I27" s="359"/>
    </row>
    <row r="28" spans="2:21" ht="101.1">
      <c r="B28" s="54"/>
      <c r="C28" s="336" t="s">
        <v>6</v>
      </c>
      <c r="D28" s="120" t="s">
        <v>7</v>
      </c>
      <c r="E28" s="121" t="s">
        <v>8</v>
      </c>
      <c r="F28" s="122" t="s">
        <v>9</v>
      </c>
      <c r="G28" s="337" t="s">
        <v>10</v>
      </c>
      <c r="H28" s="338" t="s">
        <v>11</v>
      </c>
      <c r="I28" s="80" t="s">
        <v>19</v>
      </c>
    </row>
    <row r="29" spans="2:21">
      <c r="B29" s="57" t="s">
        <v>20</v>
      </c>
      <c r="C29" s="73"/>
      <c r="D29" s="73"/>
      <c r="E29" s="73"/>
      <c r="F29" s="73"/>
      <c r="G29" s="73"/>
      <c r="H29" s="73"/>
      <c r="I29" s="80"/>
    </row>
    <row r="30" spans="2:21">
      <c r="B30" s="344" t="s">
        <v>6</v>
      </c>
      <c r="C30" s="161">
        <v>20</v>
      </c>
      <c r="D30" s="161">
        <v>0</v>
      </c>
      <c r="E30" s="161">
        <v>0</v>
      </c>
      <c r="F30" s="161">
        <v>0</v>
      </c>
      <c r="G30" s="161">
        <v>0</v>
      </c>
      <c r="H30" s="161">
        <v>0</v>
      </c>
      <c r="I30" s="345">
        <f t="shared" ref="I30:I35" si="0">SUM(C30:H30)</f>
        <v>20</v>
      </c>
    </row>
    <row r="31" spans="2:21">
      <c r="B31" s="61" t="s">
        <v>7</v>
      </c>
      <c r="C31" s="161">
        <v>3</v>
      </c>
      <c r="D31" s="161">
        <v>142</v>
      </c>
      <c r="E31" s="161">
        <v>8</v>
      </c>
      <c r="F31" s="161">
        <v>0</v>
      </c>
      <c r="G31" s="161">
        <v>0</v>
      </c>
      <c r="H31" s="161">
        <v>0</v>
      </c>
      <c r="I31" s="345">
        <f t="shared" si="0"/>
        <v>153</v>
      </c>
    </row>
    <row r="32" spans="2:21">
      <c r="B32" s="62" t="s">
        <v>8</v>
      </c>
      <c r="C32" s="161">
        <v>0</v>
      </c>
      <c r="D32" s="161">
        <v>2</v>
      </c>
      <c r="E32" s="161">
        <v>88</v>
      </c>
      <c r="F32" s="161">
        <v>0</v>
      </c>
      <c r="G32" s="161">
        <v>0</v>
      </c>
      <c r="H32" s="161">
        <v>0</v>
      </c>
      <c r="I32" s="345">
        <f t="shared" si="0"/>
        <v>90</v>
      </c>
    </row>
    <row r="33" spans="2:9">
      <c r="B33" s="63" t="s">
        <v>9</v>
      </c>
      <c r="C33" s="161">
        <v>0</v>
      </c>
      <c r="D33" s="161">
        <v>0</v>
      </c>
      <c r="E33" s="161">
        <v>0</v>
      </c>
      <c r="F33" s="161">
        <v>19</v>
      </c>
      <c r="G33" s="161">
        <v>0</v>
      </c>
      <c r="H33" s="161">
        <v>0</v>
      </c>
      <c r="I33" s="345">
        <f t="shared" si="0"/>
        <v>19</v>
      </c>
    </row>
    <row r="34" spans="2:9">
      <c r="B34" s="66" t="s">
        <v>10</v>
      </c>
      <c r="C34" s="161">
        <v>0</v>
      </c>
      <c r="D34" s="161">
        <v>1</v>
      </c>
      <c r="E34" s="161">
        <v>0</v>
      </c>
      <c r="F34" s="161">
        <v>0</v>
      </c>
      <c r="G34" s="161">
        <v>5</v>
      </c>
      <c r="H34" s="161">
        <v>0</v>
      </c>
      <c r="I34" s="345">
        <f t="shared" si="0"/>
        <v>6</v>
      </c>
    </row>
    <row r="35" spans="2:9">
      <c r="B35" s="75" t="s">
        <v>11</v>
      </c>
      <c r="C35" s="161">
        <v>0</v>
      </c>
      <c r="D35" s="161">
        <v>0</v>
      </c>
      <c r="E35" s="161">
        <v>0</v>
      </c>
      <c r="F35" s="161">
        <v>0</v>
      </c>
      <c r="G35" s="161">
        <v>0</v>
      </c>
      <c r="H35" s="161">
        <v>0</v>
      </c>
      <c r="I35" s="345">
        <f t="shared" si="0"/>
        <v>0</v>
      </c>
    </row>
    <row r="36" spans="2:9">
      <c r="B36" s="59" t="s">
        <v>21</v>
      </c>
      <c r="C36" s="165">
        <f t="shared" ref="C36:I36" si="1">SUM(C30:C35)</f>
        <v>23</v>
      </c>
      <c r="D36" s="165">
        <f t="shared" si="1"/>
        <v>145</v>
      </c>
      <c r="E36" s="165">
        <f t="shared" si="1"/>
        <v>96</v>
      </c>
      <c r="F36" s="165">
        <f t="shared" si="1"/>
        <v>19</v>
      </c>
      <c r="G36" s="165">
        <f t="shared" si="1"/>
        <v>5</v>
      </c>
      <c r="H36" s="165">
        <f t="shared" si="1"/>
        <v>0</v>
      </c>
      <c r="I36" s="345">
        <f t="shared" si="1"/>
        <v>288</v>
      </c>
    </row>
  </sheetData>
  <mergeCells count="3">
    <mergeCell ref="B5:L12"/>
    <mergeCell ref="B15:L15"/>
    <mergeCell ref="C27:I27"/>
  </mergeCells>
  <conditionalFormatting sqref="C20:I23">
    <cfRule type="expression" dxfId="15" priority="2">
      <formula>Answers=1</formula>
    </cfRule>
  </conditionalFormatting>
  <conditionalFormatting sqref="C30:I36">
    <cfRule type="expression" dxfId="14" priority="1">
      <formula>Answers=1</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Y36"/>
  <sheetViews>
    <sheetView showGridLines="0" topLeftCell="A3" zoomScaleNormal="100" workbookViewId="0">
      <selection activeCell="X33" sqref="X33"/>
    </sheetView>
  </sheetViews>
  <sheetFormatPr defaultColWidth="9.28515625" defaultRowHeight="14.45"/>
  <cols>
    <col min="1" max="1" width="2.7109375" style="3" customWidth="1"/>
    <col min="2" max="17" width="3.5703125" style="3" customWidth="1"/>
    <col min="18" max="18" width="4.28515625" style="3" customWidth="1"/>
    <col min="19" max="19" width="7.28515625" style="3" customWidth="1"/>
    <col min="20" max="20" width="27.5703125" style="3" customWidth="1"/>
    <col min="21" max="21" width="7.28515625" style="3" bestFit="1" customWidth="1"/>
    <col min="22" max="22" width="13.28515625" style="3" customWidth="1"/>
    <col min="23" max="23" width="15.7109375" style="3" customWidth="1"/>
    <col min="24" max="24" width="11.140625" style="3" customWidth="1"/>
    <col min="25" max="25" width="22" style="3" customWidth="1"/>
    <col min="26" max="16384" width="9.28515625" style="3"/>
  </cols>
  <sheetData>
    <row r="1" spans="1:25" ht="21">
      <c r="A1" s="329" t="s">
        <v>188</v>
      </c>
      <c r="B1" s="330"/>
    </row>
    <row r="2" spans="1:25">
      <c r="B2" s="174" t="s">
        <v>0</v>
      </c>
      <c r="C2"/>
      <c r="D2"/>
      <c r="E2"/>
    </row>
    <row r="3" spans="1:25">
      <c r="B3" s="177" t="s">
        <v>189</v>
      </c>
      <c r="C3"/>
      <c r="D3"/>
      <c r="E3"/>
    </row>
    <row r="4" spans="1:25">
      <c r="B4" s="177" t="s">
        <v>190</v>
      </c>
      <c r="C4"/>
      <c r="D4"/>
      <c r="E4"/>
    </row>
    <row r="5" spans="1:25">
      <c r="B5" s="177" t="s">
        <v>191</v>
      </c>
      <c r="C5"/>
      <c r="D5"/>
      <c r="E5"/>
    </row>
    <row r="7" spans="1:25" ht="15" thickBot="1">
      <c r="B7" s="55" t="s">
        <v>192</v>
      </c>
    </row>
    <row r="8" spans="1:25" ht="15" thickTop="1">
      <c r="B8" s="55"/>
      <c r="C8" s="55"/>
      <c r="D8" s="184"/>
      <c r="E8" s="185"/>
      <c r="F8" s="185"/>
      <c r="G8" s="186"/>
      <c r="H8" s="186"/>
      <c r="I8" s="186"/>
      <c r="J8" s="186"/>
      <c r="K8" s="187"/>
      <c r="L8" s="188"/>
      <c r="M8" s="188"/>
      <c r="N8" s="188"/>
      <c r="O8" s="188"/>
      <c r="P8" s="188"/>
      <c r="Q8" s="189"/>
      <c r="T8" s="34" t="s">
        <v>193</v>
      </c>
      <c r="U8"/>
      <c r="V8"/>
      <c r="W8"/>
      <c r="X8"/>
      <c r="Y8"/>
    </row>
    <row r="9" spans="1:25" ht="15" thickBot="1">
      <c r="B9" s="55"/>
      <c r="C9" s="55"/>
      <c r="D9" s="190"/>
      <c r="E9" s="191"/>
      <c r="F9" s="191"/>
      <c r="G9" s="191"/>
      <c r="H9" s="191"/>
      <c r="I9" s="192"/>
      <c r="J9" s="192"/>
      <c r="K9" s="193"/>
      <c r="L9" s="194"/>
      <c r="M9" s="194"/>
      <c r="N9" s="194"/>
      <c r="O9" s="194"/>
      <c r="P9" s="194"/>
      <c r="Q9" s="195"/>
      <c r="T9" s="375" t="s">
        <v>194</v>
      </c>
      <c r="U9" s="183"/>
      <c r="V9" s="60" t="s">
        <v>182</v>
      </c>
      <c r="W9" s="60" t="s">
        <v>166</v>
      </c>
      <c r="X9" s="60" t="s">
        <v>183</v>
      </c>
      <c r="Y9" s="117" t="s">
        <v>168</v>
      </c>
    </row>
    <row r="10" spans="1:25" ht="17.45" thickTop="1" thickBot="1">
      <c r="B10" s="184"/>
      <c r="C10" s="186"/>
      <c r="D10" s="196"/>
      <c r="E10" s="197"/>
      <c r="F10" s="192"/>
      <c r="G10" s="192"/>
      <c r="H10" s="192"/>
      <c r="I10" s="192"/>
      <c r="J10" s="192"/>
      <c r="K10" s="198"/>
      <c r="L10" s="199"/>
      <c r="M10" s="199" t="s">
        <v>195</v>
      </c>
      <c r="N10" s="199"/>
      <c r="O10" s="194"/>
      <c r="P10" s="194"/>
      <c r="Q10" s="195"/>
      <c r="T10" s="375"/>
      <c r="U10" s="183"/>
      <c r="V10" s="117" t="s">
        <v>184</v>
      </c>
      <c r="W10" s="117" t="s">
        <v>185</v>
      </c>
      <c r="X10" s="117" t="s">
        <v>196</v>
      </c>
      <c r="Y10" s="116" t="s">
        <v>187</v>
      </c>
    </row>
    <row r="11" spans="1:25" ht="15.6" thickTop="1" thickBot="1">
      <c r="B11" s="200"/>
      <c r="C11" s="191"/>
      <c r="D11" s="192"/>
      <c r="E11" s="196"/>
      <c r="F11" s="197"/>
      <c r="G11" s="192"/>
      <c r="H11" s="192" t="s">
        <v>197</v>
      </c>
      <c r="I11" s="192"/>
      <c r="J11" s="192"/>
      <c r="K11" s="198"/>
      <c r="L11" s="199"/>
      <c r="M11" s="199"/>
      <c r="N11" s="199"/>
      <c r="O11" s="194"/>
      <c r="P11" s="194"/>
      <c r="Q11" s="195"/>
      <c r="T11" s="182" t="s">
        <v>198</v>
      </c>
      <c r="U11" s="183"/>
      <c r="V11" s="138">
        <f>'Ex 5-Services estimation&amp; suppl'!D13+'Ex 5-Services estimation&amp; suppl'!D16</f>
        <v>27846.739130434784</v>
      </c>
      <c r="W11" s="138"/>
      <c r="X11" s="138">
        <f>'Ex 5-Services estimation&amp; suppl'!K24</f>
        <v>9954.5454545454559</v>
      </c>
      <c r="Y11" s="138"/>
    </row>
    <row r="12" spans="1:25" ht="15.6" thickTop="1" thickBot="1">
      <c r="B12" s="200"/>
      <c r="C12" s="191"/>
      <c r="D12" s="192"/>
      <c r="E12" s="192"/>
      <c r="F12" s="196"/>
      <c r="G12" s="197"/>
      <c r="H12" s="192"/>
      <c r="I12" s="192"/>
      <c r="J12" s="192"/>
      <c r="K12" s="198"/>
      <c r="L12" s="199"/>
      <c r="M12" s="199"/>
      <c r="N12" s="199"/>
      <c r="O12" s="194"/>
      <c r="P12" s="194"/>
      <c r="Q12" s="195"/>
      <c r="T12" s="182" t="s">
        <v>199</v>
      </c>
      <c r="U12" s="183"/>
      <c r="V12" s="138">
        <f>'Ex 5-Services estimation&amp; suppl'!D23</f>
        <v>6545</v>
      </c>
      <c r="W12" s="138"/>
      <c r="X12" s="138">
        <f>'Ex 5-Services estimation&amp; suppl'!L21</f>
        <v>5454.545454545455</v>
      </c>
      <c r="Y12" s="138"/>
    </row>
    <row r="13" spans="1:25" ht="15.6" thickTop="1" thickBot="1">
      <c r="B13" s="200"/>
      <c r="C13" s="191"/>
      <c r="D13" s="192"/>
      <c r="E13" s="192"/>
      <c r="F13" s="192"/>
      <c r="G13" s="196"/>
      <c r="H13" s="197"/>
      <c r="I13" s="192"/>
      <c r="J13" s="192"/>
      <c r="K13" s="201"/>
      <c r="L13" s="202"/>
      <c r="M13" s="202"/>
      <c r="N13" s="202"/>
      <c r="O13" s="203"/>
      <c r="P13" s="203"/>
      <c r="Q13" s="204"/>
      <c r="T13" s="182" t="s">
        <v>200</v>
      </c>
      <c r="U13" s="183"/>
      <c r="V13" s="138"/>
      <c r="W13" s="138"/>
      <c r="X13" s="138">
        <f>'Ex 5-Services estimation&amp; suppl'!L15</f>
        <v>10500</v>
      </c>
      <c r="Y13" s="138"/>
    </row>
    <row r="14" spans="1:25" ht="15" thickTop="1">
      <c r="B14" s="200"/>
      <c r="C14" s="191"/>
      <c r="D14" s="192"/>
      <c r="E14" s="192"/>
      <c r="F14" s="192"/>
      <c r="G14" s="192"/>
      <c r="H14" s="196"/>
      <c r="I14" s="192"/>
      <c r="J14" s="192"/>
      <c r="K14" s="192"/>
      <c r="L14" s="192"/>
      <c r="M14" s="192"/>
      <c r="N14" s="192"/>
      <c r="O14" s="192"/>
      <c r="P14" s="192"/>
      <c r="Q14" s="205"/>
      <c r="T14" s="182" t="s">
        <v>201</v>
      </c>
      <c r="U14" s="183"/>
      <c r="V14" s="138"/>
      <c r="W14" s="138">
        <f>'Ex 5-Services estimation&amp; suppl'!E22</f>
        <v>1285.7142857142858</v>
      </c>
      <c r="X14" s="138"/>
      <c r="Y14" s="138"/>
    </row>
    <row r="15" spans="1:25">
      <c r="B15" s="200"/>
      <c r="C15" s="191" t="s">
        <v>197</v>
      </c>
      <c r="D15" s="192"/>
      <c r="E15" s="192"/>
      <c r="F15" s="206"/>
      <c r="G15" s="206"/>
      <c r="H15" s="206"/>
      <c r="I15" s="196"/>
      <c r="J15" s="192"/>
      <c r="K15" s="192"/>
      <c r="L15" s="192"/>
      <c r="M15" s="192"/>
      <c r="N15" s="192"/>
      <c r="O15" s="191"/>
      <c r="P15" s="191"/>
      <c r="Q15" s="205"/>
      <c r="T15" s="183" t="s">
        <v>202</v>
      </c>
      <c r="U15" s="183"/>
      <c r="V15" s="138">
        <f>'Ex 5-Services estimation&amp; suppl'!D20</f>
        <v>700</v>
      </c>
      <c r="W15" s="138">
        <f>'Ex 5-Services estimation&amp; suppl'!E35-W14</f>
        <v>11848.457792207791</v>
      </c>
      <c r="X15" s="138"/>
      <c r="Y15" s="138"/>
    </row>
    <row r="16" spans="1:25">
      <c r="B16" s="200"/>
      <c r="C16" s="191"/>
      <c r="D16" s="192"/>
      <c r="E16" s="192"/>
      <c r="F16" s="206"/>
      <c r="G16" s="206"/>
      <c r="H16" s="206"/>
      <c r="I16" s="207"/>
      <c r="J16" s="192"/>
      <c r="K16" s="192"/>
      <c r="L16" s="192"/>
      <c r="M16" s="192"/>
      <c r="N16" s="192"/>
      <c r="O16" s="191"/>
      <c r="P16" s="191"/>
      <c r="Q16" s="205"/>
      <c r="T16" s="183" t="s">
        <v>203</v>
      </c>
      <c r="U16" s="183"/>
      <c r="V16" s="138"/>
      <c r="W16" s="138"/>
      <c r="X16" s="138"/>
      <c r="Y16" s="138">
        <f>'Ex 5-Services estimation&amp; suppl'!G35</f>
        <v>1760</v>
      </c>
    </row>
    <row r="17" spans="2:25" ht="15" thickBot="1">
      <c r="B17" s="200"/>
      <c r="C17" s="191"/>
      <c r="D17" s="192"/>
      <c r="E17" s="192"/>
      <c r="F17" s="206"/>
      <c r="G17" s="206"/>
      <c r="H17" s="206"/>
      <c r="I17" s="207"/>
      <c r="J17" s="192"/>
      <c r="K17" s="192"/>
      <c r="L17" s="192"/>
      <c r="M17" s="192"/>
      <c r="N17" s="192"/>
      <c r="O17" s="192"/>
      <c r="P17" s="192"/>
      <c r="Q17" s="208"/>
      <c r="T17" s="104" t="s">
        <v>12</v>
      </c>
      <c r="U17" s="104"/>
      <c r="V17" s="170">
        <f>SUM(V11:V16)</f>
        <v>35091.739130434784</v>
      </c>
      <c r="W17" s="170">
        <f>SUM(W11:W16)</f>
        <v>13134.172077922078</v>
      </c>
      <c r="X17" s="170">
        <f>SUM(X11:X16)</f>
        <v>25909.090909090912</v>
      </c>
      <c r="Y17" s="170">
        <f>SUM(Y11:Y16)</f>
        <v>1760</v>
      </c>
    </row>
    <row r="18" spans="2:25">
      <c r="B18" s="200"/>
      <c r="C18" s="191"/>
      <c r="D18" s="192"/>
      <c r="E18" s="192"/>
      <c r="F18" s="206"/>
      <c r="G18" s="206"/>
      <c r="H18" s="206"/>
      <c r="I18" s="209"/>
      <c r="J18" s="210"/>
      <c r="K18" s="210"/>
      <c r="L18" s="211"/>
      <c r="M18" s="192"/>
      <c r="N18" s="192"/>
      <c r="O18" s="192"/>
      <c r="P18" s="192"/>
      <c r="Q18" s="212"/>
    </row>
    <row r="19" spans="2:25">
      <c r="B19" s="200"/>
      <c r="C19" s="191"/>
      <c r="D19" s="192"/>
      <c r="E19" s="213"/>
      <c r="F19" s="213"/>
      <c r="G19" s="213"/>
      <c r="H19" s="214" t="s">
        <v>204</v>
      </c>
      <c r="I19" s="209"/>
      <c r="J19" s="213"/>
      <c r="K19" s="213"/>
      <c r="L19" s="215"/>
      <c r="M19" s="192"/>
      <c r="N19" s="192"/>
      <c r="O19" s="192"/>
      <c r="P19" s="192"/>
      <c r="Q19" s="205"/>
    </row>
    <row r="20" spans="2:25" ht="15" thickBot="1">
      <c r="B20" s="200"/>
      <c r="C20" s="191"/>
      <c r="D20" s="192"/>
      <c r="E20" s="213"/>
      <c r="F20" s="213"/>
      <c r="G20" s="213"/>
      <c r="H20" s="213"/>
      <c r="I20" s="209"/>
      <c r="J20" s="213"/>
      <c r="K20" s="213"/>
      <c r="L20" s="215"/>
      <c r="M20" s="192"/>
      <c r="N20" s="192"/>
      <c r="O20" s="192"/>
      <c r="P20" s="192"/>
      <c r="Q20" s="208"/>
    </row>
    <row r="21" spans="2:25">
      <c r="B21" s="200"/>
      <c r="C21" s="216"/>
      <c r="D21" s="191"/>
      <c r="E21" s="217"/>
      <c r="F21" s="217"/>
      <c r="G21" s="218"/>
      <c r="H21" s="219"/>
      <c r="I21" s="219"/>
      <c r="J21" s="220"/>
      <c r="K21" s="221"/>
      <c r="L21" s="221"/>
      <c r="M21" s="222"/>
      <c r="N21" s="222"/>
      <c r="O21" s="222"/>
      <c r="P21" s="222"/>
      <c r="Q21" s="223"/>
    </row>
    <row r="22" spans="2:25">
      <c r="B22" s="224"/>
      <c r="C22" s="225"/>
      <c r="D22" s="225"/>
      <c r="E22" s="225"/>
      <c r="F22" s="225"/>
      <c r="G22" s="226"/>
      <c r="H22" s="219"/>
      <c r="I22" s="219"/>
      <c r="J22" s="227"/>
      <c r="K22" s="228"/>
      <c r="L22" s="228"/>
      <c r="M22" s="228"/>
      <c r="N22" s="228"/>
      <c r="O22" s="228"/>
      <c r="P22" s="228"/>
      <c r="Q22" s="229"/>
    </row>
    <row r="23" spans="2:25" ht="15" thickBot="1">
      <c r="B23" s="224"/>
      <c r="C23" s="225"/>
      <c r="D23" s="225"/>
      <c r="E23" s="225"/>
      <c r="F23" s="225"/>
      <c r="G23" s="226"/>
      <c r="H23" s="219"/>
      <c r="I23" s="219"/>
      <c r="J23" s="227"/>
      <c r="K23" s="228"/>
      <c r="L23" s="228"/>
      <c r="M23" s="228"/>
      <c r="N23" s="230"/>
      <c r="O23" s="230"/>
      <c r="P23" s="230"/>
      <c r="Q23" s="231"/>
    </row>
    <row r="24" spans="2:25" ht="15" thickTop="1">
      <c r="B24" s="224"/>
      <c r="C24" s="225"/>
      <c r="D24" s="225"/>
      <c r="E24" s="225" t="s">
        <v>205</v>
      </c>
      <c r="F24" s="225"/>
      <c r="G24" s="225"/>
      <c r="H24" s="232"/>
      <c r="I24" s="232"/>
      <c r="J24" s="228"/>
      <c r="K24" s="228"/>
      <c r="L24" s="228" t="s">
        <v>206</v>
      </c>
      <c r="M24" s="233"/>
      <c r="N24" s="234"/>
      <c r="O24" s="235"/>
      <c r="P24" s="235"/>
      <c r="Q24" s="235"/>
    </row>
    <row r="25" spans="2:25">
      <c r="B25" s="224"/>
      <c r="C25" s="225"/>
      <c r="D25" s="225"/>
      <c r="E25" s="225"/>
      <c r="F25" s="225"/>
      <c r="G25" s="225"/>
      <c r="H25" s="225"/>
      <c r="I25" s="225"/>
      <c r="J25" s="228"/>
      <c r="K25" s="228"/>
      <c r="L25" s="228"/>
      <c r="M25" s="233"/>
      <c r="N25" s="236"/>
      <c r="O25" s="55"/>
      <c r="P25" s="55"/>
      <c r="Q25" s="55"/>
    </row>
    <row r="26" spans="2:25" ht="15" thickBot="1">
      <c r="B26" s="237"/>
      <c r="C26" s="238"/>
      <c r="D26" s="238"/>
      <c r="E26" s="238"/>
      <c r="F26" s="238"/>
      <c r="G26" s="238"/>
      <c r="H26" s="238"/>
      <c r="I26" s="238"/>
      <c r="J26" s="239"/>
      <c r="K26" s="239"/>
      <c r="L26" s="239"/>
      <c r="M26" s="240"/>
      <c r="N26" s="236"/>
      <c r="O26" s="55"/>
      <c r="P26" s="55"/>
      <c r="Q26" s="55"/>
    </row>
    <row r="27" spans="2:25" ht="15" thickTop="1"/>
    <row r="28" spans="2:25">
      <c r="B28" s="176" t="s">
        <v>207</v>
      </c>
      <c r="C28" s="176" t="s">
        <v>208</v>
      </c>
      <c r="D28"/>
      <c r="E28"/>
    </row>
    <row r="29" spans="2:25">
      <c r="B29" s="175" t="s">
        <v>197</v>
      </c>
      <c r="C29"/>
      <c r="D29"/>
      <c r="E29" s="175" t="s">
        <v>209</v>
      </c>
    </row>
    <row r="30" spans="2:25">
      <c r="B30" s="175" t="s">
        <v>206</v>
      </c>
      <c r="C30"/>
      <c r="D30"/>
      <c r="E30" s="175" t="s">
        <v>210</v>
      </c>
    </row>
    <row r="31" spans="2:25">
      <c r="B31" s="175" t="s">
        <v>195</v>
      </c>
      <c r="C31"/>
      <c r="D31"/>
      <c r="E31" s="175" t="s">
        <v>211</v>
      </c>
    </row>
    <row r="32" spans="2:25">
      <c r="B32" s="175" t="s">
        <v>205</v>
      </c>
      <c r="C32"/>
      <c r="D32"/>
      <c r="E32" s="175" t="s">
        <v>212</v>
      </c>
    </row>
    <row r="33" spans="2:5">
      <c r="B33" s="175" t="s">
        <v>204</v>
      </c>
      <c r="C33"/>
      <c r="D33"/>
      <c r="E33" s="175" t="s">
        <v>213</v>
      </c>
    </row>
    <row r="34" spans="2:5">
      <c r="B34" s="175" t="s">
        <v>214</v>
      </c>
      <c r="C34"/>
      <c r="D34"/>
      <c r="E34" s="175" t="s">
        <v>202</v>
      </c>
    </row>
    <row r="35" spans="2:5">
      <c r="B35" s="175" t="s">
        <v>215</v>
      </c>
      <c r="C35"/>
      <c r="D35"/>
      <c r="E35" s="175" t="s">
        <v>203</v>
      </c>
    </row>
    <row r="36" spans="2:5">
      <c r="B36" s="175"/>
      <c r="C36"/>
      <c r="D36"/>
      <c r="E36"/>
    </row>
  </sheetData>
  <mergeCells count="1">
    <mergeCell ref="T9:T10"/>
  </mergeCells>
  <conditionalFormatting sqref="V11:Y14">
    <cfRule type="expression" dxfId="1" priority="1">
      <formula>Answers=1</formula>
    </cfRule>
  </conditionalFormatting>
  <conditionalFormatting sqref="V15:Y16">
    <cfRule type="expression" dxfId="0" priority="2">
      <formula>Answers=1</formula>
    </cfRule>
  </conditionalFormatting>
  <pageMargins left="0.70866141732283472" right="0.70866141732283472" top="0.74803149606299213" bottom="0.74803149606299213" header="0.31496062992125984" footer="0.31496062992125984"/>
  <pageSetup paperSize="9" fitToHeight="0" orientation="landscape" r:id="rId1"/>
  <headerFooter>
    <oddFooter>&amp;L&amp;P&amp;CESCAP&amp;RSEEA Training  2016</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3"/>
  <sheetViews>
    <sheetView workbookViewId="0">
      <selection activeCell="P26" sqref="P26"/>
    </sheetView>
  </sheetViews>
  <sheetFormatPr defaultColWidth="8.85546875" defaultRowHeight="14.45"/>
  <cols>
    <col min="2" max="2" width="18.28515625" customWidth="1"/>
    <col min="3" max="3" width="11.7109375" customWidth="1"/>
    <col min="5" max="5" width="11.28515625" customWidth="1"/>
  </cols>
  <sheetData>
    <row r="1" spans="1:5" ht="21">
      <c r="A1" s="331" t="s">
        <v>216</v>
      </c>
    </row>
    <row r="4" spans="1:5">
      <c r="A4" t="s">
        <v>217</v>
      </c>
    </row>
    <row r="5" spans="1:5">
      <c r="A5" t="s">
        <v>218</v>
      </c>
      <c r="E5">
        <v>500</v>
      </c>
    </row>
    <row r="6" spans="1:5">
      <c r="A6" t="s">
        <v>219</v>
      </c>
      <c r="E6">
        <v>40</v>
      </c>
    </row>
    <row r="7" spans="1:5">
      <c r="A7" t="s">
        <v>220</v>
      </c>
      <c r="E7">
        <v>200</v>
      </c>
    </row>
    <row r="8" spans="1:5">
      <c r="A8" t="s">
        <v>221</v>
      </c>
      <c r="E8">
        <v>400</v>
      </c>
    </row>
    <row r="9" spans="1:5">
      <c r="A9" t="s">
        <v>222</v>
      </c>
      <c r="C9" t="s">
        <v>223</v>
      </c>
      <c r="E9">
        <v>10</v>
      </c>
    </row>
    <row r="10" spans="1:5">
      <c r="A10" t="s">
        <v>224</v>
      </c>
      <c r="E10" s="180">
        <v>0.08</v>
      </c>
    </row>
    <row r="11" spans="1:5">
      <c r="A11" t="s">
        <v>225</v>
      </c>
      <c r="E11">
        <v>50</v>
      </c>
    </row>
    <row r="13" spans="1:5">
      <c r="B13" t="s">
        <v>226</v>
      </c>
      <c r="E13" s="34">
        <f>(E8*E10)+E8/E9</f>
        <v>72</v>
      </c>
    </row>
    <row r="15" spans="1:5">
      <c r="B15" t="s">
        <v>227</v>
      </c>
      <c r="E15">
        <f>E5-E6</f>
        <v>460</v>
      </c>
    </row>
    <row r="16" spans="1:5">
      <c r="B16" t="s">
        <v>228</v>
      </c>
      <c r="E16">
        <f>E7</f>
        <v>200</v>
      </c>
    </row>
    <row r="17" spans="2:6">
      <c r="B17" t="s">
        <v>229</v>
      </c>
      <c r="E17" s="34">
        <f>E15-E16</f>
        <v>260</v>
      </c>
    </row>
    <row r="18" spans="2:6">
      <c r="E18" s="34"/>
    </row>
    <row r="19" spans="2:6">
      <c r="B19" s="178" t="s">
        <v>230</v>
      </c>
      <c r="C19" s="181"/>
      <c r="D19" s="181"/>
      <c r="E19" s="178">
        <f>E17-E13</f>
        <v>188</v>
      </c>
      <c r="F19" t="s">
        <v>231</v>
      </c>
    </row>
    <row r="44" spans="3:6">
      <c r="C44" s="34"/>
      <c r="D44" s="34"/>
      <c r="E44" s="34"/>
      <c r="F44" s="34"/>
    </row>
    <row r="54" spans="3:6">
      <c r="F54" s="34"/>
    </row>
    <row r="55" spans="3:6">
      <c r="E55" s="34"/>
    </row>
    <row r="58" spans="3:6">
      <c r="C58" s="34"/>
      <c r="D58" s="34"/>
      <c r="E58" s="34"/>
      <c r="F58" s="34"/>
    </row>
    <row r="68" spans="3:6">
      <c r="F68" s="34"/>
    </row>
    <row r="69" spans="3:6">
      <c r="E69" s="34"/>
    </row>
    <row r="72" spans="3:6">
      <c r="C72" s="34"/>
      <c r="D72" s="34"/>
      <c r="E72" s="34"/>
      <c r="F72" s="34"/>
    </row>
    <row r="82" spans="5:6">
      <c r="F82" s="34"/>
    </row>
    <row r="83" spans="5:6">
      <c r="E83" s="3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19"/>
  <sheetViews>
    <sheetView showGridLines="0" workbookViewId="0">
      <selection activeCell="M30" sqref="M30"/>
    </sheetView>
  </sheetViews>
  <sheetFormatPr defaultColWidth="8.85546875" defaultRowHeight="14.45"/>
  <cols>
    <col min="1" max="1" width="3.42578125" customWidth="1"/>
    <col min="2" max="2" width="24.7109375" customWidth="1"/>
    <col min="4" max="4" width="10" customWidth="1"/>
    <col min="5" max="5" width="10.5703125" bestFit="1" customWidth="1"/>
    <col min="6" max="6" width="11.7109375" bestFit="1" customWidth="1"/>
    <col min="7" max="7" width="10.5703125" bestFit="1" customWidth="1"/>
    <col min="9" max="9" width="10.5703125" bestFit="1" customWidth="1"/>
  </cols>
  <sheetData>
    <row r="1" spans="1:9" ht="21">
      <c r="A1" s="329" t="s">
        <v>232</v>
      </c>
    </row>
    <row r="3" spans="1:9">
      <c r="B3" s="55" t="s">
        <v>233</v>
      </c>
      <c r="C3" s="3"/>
      <c r="D3" s="3"/>
      <c r="E3" s="3"/>
      <c r="F3" s="3"/>
      <c r="G3" s="3"/>
    </row>
    <row r="4" spans="1:9" ht="29.25" customHeight="1">
      <c r="B4" s="376" t="s">
        <v>181</v>
      </c>
      <c r="C4" s="378" t="s">
        <v>76</v>
      </c>
      <c r="D4" s="60" t="s">
        <v>182</v>
      </c>
      <c r="E4" s="60" t="s">
        <v>166</v>
      </c>
      <c r="F4" s="60" t="s">
        <v>183</v>
      </c>
      <c r="G4" s="117" t="s">
        <v>168</v>
      </c>
      <c r="H4" s="124" t="s">
        <v>12</v>
      </c>
      <c r="I4" s="117" t="s">
        <v>234</v>
      </c>
    </row>
    <row r="5" spans="1:9">
      <c r="B5" s="377"/>
      <c r="C5" s="379"/>
      <c r="D5" s="117" t="s">
        <v>235</v>
      </c>
      <c r="E5" s="117" t="s">
        <v>235</v>
      </c>
      <c r="F5" s="117" t="s">
        <v>235</v>
      </c>
      <c r="G5" s="117" t="s">
        <v>235</v>
      </c>
      <c r="H5" s="117" t="s">
        <v>235</v>
      </c>
      <c r="I5" s="117" t="s">
        <v>236</v>
      </c>
    </row>
    <row r="6" spans="1:9">
      <c r="B6" s="91" t="s">
        <v>6</v>
      </c>
      <c r="C6" s="68">
        <f>'Ex 1-Units'!T20</f>
        <v>20</v>
      </c>
      <c r="D6" s="138"/>
      <c r="E6" s="138">
        <f>'Ex 5-Services estimation&amp; suppl'!E30*'Ex 8-services supply in $'!$E$19</f>
        <v>9600</v>
      </c>
      <c r="F6" s="138"/>
      <c r="G6" s="138"/>
      <c r="H6" s="138">
        <f t="shared" ref="H6:H11" si="0">SUM(D6:G6)</f>
        <v>9600</v>
      </c>
      <c r="I6" s="138">
        <f t="shared" ref="I6:I11" si="1">H6/C6</f>
        <v>480</v>
      </c>
    </row>
    <row r="7" spans="1:9">
      <c r="B7" s="61" t="s">
        <v>7</v>
      </c>
      <c r="C7" s="68">
        <f>'Ex 1-Units'!T21</f>
        <v>153</v>
      </c>
      <c r="D7" s="139">
        <f>'Ex 7- resource rent'!E19*1000</f>
        <v>188000</v>
      </c>
      <c r="E7" s="138">
        <f>'Ex 5-Services estimation&amp; suppl'!E31*'Ex 8-services supply in $'!$E$19</f>
        <v>7650</v>
      </c>
      <c r="F7" s="138"/>
      <c r="G7" s="139"/>
      <c r="H7" s="138">
        <f t="shared" si="0"/>
        <v>195650</v>
      </c>
      <c r="I7" s="138">
        <f t="shared" si="1"/>
        <v>1278.7581699346406</v>
      </c>
    </row>
    <row r="8" spans="1:9">
      <c r="B8" s="62" t="s">
        <v>8</v>
      </c>
      <c r="C8" s="68">
        <f>'Ex 1-Units'!T22</f>
        <v>90</v>
      </c>
      <c r="D8" s="140"/>
      <c r="E8" s="138">
        <f>'Ex 5-Services estimation&amp; suppl'!E32*'Ex 8-services supply in $'!$E$19</f>
        <v>25714.285714285714</v>
      </c>
      <c r="F8" s="140"/>
      <c r="G8" s="140">
        <f>'Ex 8-services supply in $'!E17*'Ex 5-Services estimation&amp; suppl'!G32</f>
        <v>176000</v>
      </c>
      <c r="H8" s="138">
        <f t="shared" si="0"/>
        <v>201714.28571428571</v>
      </c>
      <c r="I8" s="138">
        <f t="shared" si="1"/>
        <v>2241.2698412698414</v>
      </c>
    </row>
    <row r="9" spans="1:9">
      <c r="B9" s="63" t="s">
        <v>9</v>
      </c>
      <c r="C9" s="68">
        <f>'Ex 1-Units'!T23</f>
        <v>19</v>
      </c>
      <c r="D9" s="138"/>
      <c r="E9" s="138">
        <f>'Ex 5-Services estimation&amp; suppl'!E33*'Ex 8-services supply in $'!$E$19</f>
        <v>22109.090909090912</v>
      </c>
      <c r="F9" s="139">
        <f>'Ex 8-services supply in $'!E15*'Ex 5-Services estimation&amp; suppl'!F33*1000</f>
        <v>259090.90909090912</v>
      </c>
      <c r="G9" s="138"/>
      <c r="H9" s="138">
        <f t="shared" si="0"/>
        <v>281200</v>
      </c>
      <c r="I9" s="169">
        <f t="shared" si="1"/>
        <v>14800</v>
      </c>
    </row>
    <row r="10" spans="1:9">
      <c r="B10" s="94" t="s">
        <v>10</v>
      </c>
      <c r="C10" s="68">
        <f>'Ex 1-Units'!T24</f>
        <v>6</v>
      </c>
      <c r="D10" s="141">
        <f>('Ex 5-Services estimation&amp; suppl'!D34/'Ex 5-Services estimation&amp; suppl'!D31)*D7</f>
        <v>3826.5002970885325</v>
      </c>
      <c r="E10" s="138">
        <f>'Ex 5-Services estimation&amp; suppl'!E34*'Ex 8-services supply in $'!$E$19</f>
        <v>40000</v>
      </c>
      <c r="F10" s="142"/>
      <c r="G10" s="142"/>
      <c r="H10" s="138">
        <f t="shared" si="0"/>
        <v>43826.500297088533</v>
      </c>
      <c r="I10" s="138">
        <f t="shared" si="1"/>
        <v>7304.4167161814221</v>
      </c>
    </row>
    <row r="11" spans="1:9">
      <c r="B11" s="59" t="s">
        <v>12</v>
      </c>
      <c r="C11" s="118">
        <f>SUM(C6:C10)</f>
        <v>288</v>
      </c>
      <c r="D11" s="139">
        <f>SUM(D6:D10)</f>
        <v>191826.50029708853</v>
      </c>
      <c r="E11" s="139">
        <f>SUM(E6:E10)</f>
        <v>105073.37662337662</v>
      </c>
      <c r="F11" s="139">
        <f>SUM(F6:F10)</f>
        <v>259090.90909090912</v>
      </c>
      <c r="G11" s="139">
        <f>SUM(G6:G10)</f>
        <v>176000</v>
      </c>
      <c r="H11" s="138">
        <f t="shared" si="0"/>
        <v>731990.78601137432</v>
      </c>
      <c r="I11" s="138">
        <f t="shared" si="1"/>
        <v>2541.6346736506052</v>
      </c>
    </row>
    <row r="13" spans="1:9">
      <c r="B13" s="179" t="s">
        <v>237</v>
      </c>
    </row>
    <row r="14" spans="1:9">
      <c r="B14" t="s">
        <v>238</v>
      </c>
    </row>
    <row r="15" spans="1:9">
      <c r="E15">
        <v>0.01</v>
      </c>
      <c r="F15" t="s">
        <v>239</v>
      </c>
      <c r="H15" s="175"/>
    </row>
    <row r="16" spans="1:9">
      <c r="B16" t="s">
        <v>240</v>
      </c>
    </row>
    <row r="17" spans="2:6">
      <c r="E17">
        <v>100</v>
      </c>
      <c r="F17" t="s">
        <v>241</v>
      </c>
    </row>
    <row r="18" spans="2:6">
      <c r="B18" t="s">
        <v>242</v>
      </c>
    </row>
    <row r="19" spans="2:6">
      <c r="E19">
        <v>8</v>
      </c>
      <c r="F19" t="s">
        <v>243</v>
      </c>
    </row>
  </sheetData>
  <mergeCells count="2">
    <mergeCell ref="B4:B5"/>
    <mergeCell ref="C4:C5"/>
  </mergeCells>
  <pageMargins left="0.70866141732283472" right="0.70866141732283472" top="0.74803149606299213" bottom="0.74803149606299213" header="0.31496062992125984" footer="0.31496062992125984"/>
  <pageSetup paperSize="9" fitToHeight="0" orientation="landscape" r:id="rId1"/>
  <headerFooter>
    <oddFooter>&amp;L&amp;P&amp;CESCAP&amp;RSEEA Training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60"/>
  <sheetViews>
    <sheetView showGridLines="0" workbookViewId="0">
      <selection activeCell="M8" sqref="M8:M12"/>
    </sheetView>
  </sheetViews>
  <sheetFormatPr defaultColWidth="9.28515625" defaultRowHeight="14.45"/>
  <cols>
    <col min="1" max="1" width="3.7109375" style="3" customWidth="1"/>
    <col min="2" max="17" width="3.5703125" style="3" customWidth="1"/>
    <col min="18" max="18" width="3.7109375" style="3" customWidth="1"/>
    <col min="19" max="19" width="39.28515625" style="3" customWidth="1"/>
    <col min="20" max="20" width="11" style="3" customWidth="1"/>
    <col min="21" max="21" width="5.7109375" style="3" customWidth="1"/>
    <col min="22" max="22" width="17" style="3" customWidth="1"/>
    <col min="23" max="24" width="9.28515625" style="3"/>
    <col min="25" max="25" width="12.28515625" style="3" customWidth="1"/>
    <col min="26" max="26" width="10.5703125" style="3" bestFit="1" customWidth="1"/>
    <col min="27" max="16384" width="9.28515625" style="3"/>
  </cols>
  <sheetData>
    <row r="1" spans="1:27">
      <c r="A1" s="55" t="s">
        <v>22</v>
      </c>
    </row>
    <row r="2" spans="1:27">
      <c r="B2" s="55"/>
    </row>
    <row r="3" spans="1:27" ht="15" thickBot="1">
      <c r="B3" s="55" t="s">
        <v>23</v>
      </c>
      <c r="S3" s="55" t="s">
        <v>24</v>
      </c>
      <c r="Z3" s="3" t="s">
        <v>25</v>
      </c>
      <c r="AA3" s="3" t="s">
        <v>26</v>
      </c>
    </row>
    <row r="4" spans="1:27" ht="16.5" thickTop="1" thickBot="1">
      <c r="B4" s="2"/>
      <c r="C4" s="2"/>
      <c r="D4" s="32"/>
      <c r="E4" s="30"/>
      <c r="F4" s="30"/>
      <c r="G4" s="9"/>
      <c r="H4" s="9"/>
      <c r="I4" s="9"/>
      <c r="J4" s="9"/>
      <c r="K4" s="10"/>
      <c r="L4" s="10"/>
      <c r="M4" s="10"/>
      <c r="N4" s="10"/>
      <c r="O4" s="10"/>
      <c r="P4" s="10"/>
      <c r="Q4" s="11"/>
      <c r="S4" s="35" t="s">
        <v>27</v>
      </c>
      <c r="T4" s="56" t="s">
        <v>28</v>
      </c>
      <c r="V4" s="3" t="s">
        <v>29</v>
      </c>
      <c r="W4" s="148">
        <v>170</v>
      </c>
      <c r="X4" s="148">
        <v>190</v>
      </c>
    </row>
    <row r="5" spans="1:27" ht="15.95" thickBot="1">
      <c r="A5" s="2"/>
      <c r="B5" s="2"/>
      <c r="C5" s="2"/>
      <c r="D5" s="6"/>
      <c r="E5" s="5"/>
      <c r="F5" s="5" t="s">
        <v>30</v>
      </c>
      <c r="G5" s="5"/>
      <c r="H5" s="5"/>
      <c r="I5" s="5"/>
      <c r="J5" s="5"/>
      <c r="K5" s="4"/>
      <c r="L5" s="4" t="s">
        <v>31</v>
      </c>
      <c r="M5" s="4"/>
      <c r="N5" s="4"/>
      <c r="O5" s="4"/>
      <c r="P5" s="4"/>
      <c r="Q5" s="12"/>
      <c r="S5" s="85" t="s">
        <v>32</v>
      </c>
      <c r="T5" s="156">
        <v>80</v>
      </c>
      <c r="V5" s="3" t="s">
        <v>28</v>
      </c>
      <c r="W5" s="148">
        <v>70</v>
      </c>
      <c r="X5" s="148">
        <v>10</v>
      </c>
    </row>
    <row r="6" spans="1:27" ht="15.75" customHeight="1" thickTop="1">
      <c r="B6" s="8"/>
      <c r="C6" s="9"/>
      <c r="D6" s="7"/>
      <c r="E6" s="5"/>
      <c r="F6" s="5"/>
      <c r="G6" s="5"/>
      <c r="H6" s="5"/>
      <c r="I6" s="5"/>
      <c r="J6" s="5"/>
      <c r="K6" s="4"/>
      <c r="L6" s="4"/>
      <c r="M6" s="4"/>
      <c r="N6" s="4"/>
      <c r="O6" s="4"/>
      <c r="P6" s="4"/>
      <c r="Q6" s="12"/>
      <c r="S6" s="62" t="s">
        <v>33</v>
      </c>
      <c r="T6" s="138">
        <v>42</v>
      </c>
      <c r="V6" s="146" t="s">
        <v>34</v>
      </c>
      <c r="W6" s="147">
        <f>(W5*W4+X5*X4)/T5</f>
        <v>172.5</v>
      </c>
      <c r="Y6" s="147"/>
      <c r="AA6" s="147"/>
    </row>
    <row r="7" spans="1:27" ht="15.6">
      <c r="B7" s="6"/>
      <c r="C7" s="5"/>
      <c r="D7" s="5"/>
      <c r="E7" s="7"/>
      <c r="F7" s="5"/>
      <c r="G7" s="5"/>
      <c r="H7" s="5"/>
      <c r="I7" s="5"/>
      <c r="J7" s="5"/>
      <c r="K7" s="4"/>
      <c r="L7" s="4"/>
      <c r="M7" s="4"/>
      <c r="N7" s="4"/>
      <c r="O7" s="4"/>
      <c r="P7" s="4"/>
      <c r="Q7" s="12"/>
      <c r="S7" s="63" t="s">
        <v>35</v>
      </c>
      <c r="T7" s="138">
        <v>11</v>
      </c>
      <c r="Y7" s="147"/>
      <c r="AA7" s="147"/>
    </row>
    <row r="8" spans="1:27" ht="15.6">
      <c r="B8" s="6"/>
      <c r="C8" s="5"/>
      <c r="D8" s="108"/>
      <c r="E8" s="108"/>
      <c r="F8" s="107"/>
      <c r="G8" s="108"/>
      <c r="H8" s="108"/>
      <c r="I8" s="108"/>
      <c r="J8" s="108"/>
      <c r="K8" s="109"/>
      <c r="L8" s="109"/>
      <c r="M8" s="109"/>
      <c r="N8" s="109"/>
      <c r="O8" s="4"/>
      <c r="P8" s="4"/>
      <c r="Q8" s="12"/>
      <c r="S8" s="61" t="s">
        <v>36</v>
      </c>
      <c r="T8" s="138">
        <v>45</v>
      </c>
      <c r="V8" s="3" t="s">
        <v>37</v>
      </c>
      <c r="W8" s="3">
        <v>150</v>
      </c>
    </row>
    <row r="9" spans="1:27" ht="15.6">
      <c r="B9" s="6" t="s">
        <v>38</v>
      </c>
      <c r="C9" s="5"/>
      <c r="D9" s="108"/>
      <c r="E9" s="108"/>
      <c r="F9" s="108"/>
      <c r="G9" s="107"/>
      <c r="H9" s="108"/>
      <c r="I9" s="108"/>
      <c r="J9" s="108"/>
      <c r="K9" s="109"/>
      <c r="L9" s="109"/>
      <c r="M9" s="109"/>
      <c r="N9" s="109"/>
      <c r="O9" s="4"/>
      <c r="P9" s="4"/>
      <c r="Q9" s="12"/>
      <c r="S9" s="62" t="s">
        <v>39</v>
      </c>
      <c r="T9" s="143">
        <v>12</v>
      </c>
    </row>
    <row r="10" spans="1:27" ht="15.6">
      <c r="B10" s="6"/>
      <c r="C10" s="5"/>
      <c r="D10" s="108"/>
      <c r="E10" s="108"/>
      <c r="F10" s="108"/>
      <c r="G10" s="108"/>
      <c r="H10" s="107"/>
      <c r="I10" s="108"/>
      <c r="J10" s="108"/>
      <c r="K10" s="108"/>
      <c r="L10" s="108"/>
      <c r="M10" s="108"/>
      <c r="N10" s="108"/>
      <c r="O10" s="5"/>
      <c r="P10" s="5"/>
      <c r="Q10" s="13"/>
      <c r="S10" s="64" t="s">
        <v>40</v>
      </c>
      <c r="T10" s="138">
        <v>9</v>
      </c>
      <c r="U10" s="102"/>
      <c r="V10" s="3" t="s">
        <v>41</v>
      </c>
      <c r="W10" s="136">
        <f>W8/W6</f>
        <v>0.86956521739130432</v>
      </c>
    </row>
    <row r="11" spans="1:27" ht="15.6">
      <c r="B11" s="6"/>
      <c r="C11" s="5"/>
      <c r="D11" s="108"/>
      <c r="E11" s="108"/>
      <c r="F11" s="109"/>
      <c r="G11" s="109"/>
      <c r="H11" s="109"/>
      <c r="I11" s="107"/>
      <c r="J11" s="108"/>
      <c r="K11" s="108"/>
      <c r="L11" s="108"/>
      <c r="M11" s="108"/>
      <c r="N11" s="108"/>
      <c r="O11" s="5"/>
      <c r="P11" s="5"/>
      <c r="Q11" s="13"/>
      <c r="R11" s="65"/>
      <c r="S11" s="64" t="s">
        <v>42</v>
      </c>
      <c r="T11" s="138">
        <v>11</v>
      </c>
      <c r="U11" s="103"/>
      <c r="V11" s="103" t="s">
        <v>43</v>
      </c>
      <c r="W11" s="147">
        <f>'Ex 5-Services estimation&amp; suppl'!D13</f>
        <v>18700</v>
      </c>
    </row>
    <row r="12" spans="1:27" ht="15.6">
      <c r="B12" s="6"/>
      <c r="C12" s="5"/>
      <c r="D12" s="108"/>
      <c r="E12" s="108"/>
      <c r="F12" s="109" t="s">
        <v>44</v>
      </c>
      <c r="G12" s="109"/>
      <c r="H12" s="109"/>
      <c r="I12" s="107"/>
      <c r="J12" s="108"/>
      <c r="K12" s="108"/>
      <c r="L12" s="108"/>
      <c r="M12" s="108"/>
      <c r="N12" s="108"/>
      <c r="O12" s="5"/>
      <c r="P12" s="5"/>
      <c r="Q12" s="13"/>
      <c r="R12" s="65"/>
      <c r="S12" s="66" t="s">
        <v>45</v>
      </c>
      <c r="T12" s="138">
        <v>6</v>
      </c>
      <c r="V12" s="3" t="s">
        <v>46</v>
      </c>
      <c r="W12" s="147">
        <f>W11/T5</f>
        <v>233.75</v>
      </c>
    </row>
    <row r="13" spans="1:27" ht="15.6">
      <c r="B13" s="6"/>
      <c r="C13" s="5"/>
      <c r="D13" s="108"/>
      <c r="E13" s="108"/>
      <c r="F13" s="109"/>
      <c r="G13" s="109"/>
      <c r="H13" s="109"/>
      <c r="I13" s="107"/>
      <c r="J13" s="108"/>
      <c r="K13" s="108"/>
      <c r="L13" s="108"/>
      <c r="M13" s="108"/>
      <c r="N13" s="108"/>
      <c r="O13" s="5"/>
      <c r="P13" s="5"/>
      <c r="Q13" s="13"/>
      <c r="R13" s="65"/>
      <c r="S13" s="63" t="s">
        <v>47</v>
      </c>
      <c r="T13" s="138">
        <v>8</v>
      </c>
      <c r="V13" s="3" t="s">
        <v>48</v>
      </c>
      <c r="W13" s="147">
        <f>W10*W12</f>
        <v>203.26086956521738</v>
      </c>
    </row>
    <row r="14" spans="1:27" ht="15.6">
      <c r="B14" s="6"/>
      <c r="C14" s="5"/>
      <c r="D14" s="108"/>
      <c r="E14" s="108"/>
      <c r="F14" s="109"/>
      <c r="G14" s="109"/>
      <c r="H14" s="109"/>
      <c r="I14" s="107"/>
      <c r="J14" s="110"/>
      <c r="K14" s="110"/>
      <c r="L14" s="110"/>
      <c r="M14" s="108"/>
      <c r="N14" s="108"/>
      <c r="O14" s="5"/>
      <c r="P14" s="5"/>
      <c r="Q14" s="13"/>
      <c r="R14" s="31"/>
      <c r="S14" s="62" t="s">
        <v>49</v>
      </c>
      <c r="T14" s="138">
        <v>36</v>
      </c>
      <c r="V14" s="3" t="s">
        <v>50</v>
      </c>
      <c r="W14" s="147">
        <f>W13*T8</f>
        <v>9146.7391304347821</v>
      </c>
    </row>
    <row r="15" spans="1:27" ht="15.95" thickBot="1">
      <c r="B15" s="6"/>
      <c r="C15" s="5"/>
      <c r="D15" s="108"/>
      <c r="E15" s="110"/>
      <c r="F15" s="110"/>
      <c r="G15" s="110"/>
      <c r="H15" s="110"/>
      <c r="I15" s="107"/>
      <c r="J15" s="110"/>
      <c r="K15" s="110"/>
      <c r="L15" s="110"/>
      <c r="M15" s="108"/>
      <c r="N15" s="108"/>
      <c r="O15" s="5"/>
      <c r="P15" s="5"/>
      <c r="Q15" s="13"/>
      <c r="S15" s="67" t="s">
        <v>51</v>
      </c>
      <c r="T15" s="142">
        <v>28</v>
      </c>
    </row>
    <row r="16" spans="1:27" ht="15.95" thickBot="1">
      <c r="B16" s="6"/>
      <c r="C16" s="5"/>
      <c r="D16" s="108"/>
      <c r="E16" s="110"/>
      <c r="F16" s="110"/>
      <c r="G16" s="110"/>
      <c r="H16" s="110"/>
      <c r="I16" s="107"/>
      <c r="J16" s="110"/>
      <c r="K16" s="110"/>
      <c r="L16" s="110"/>
      <c r="M16" s="108"/>
      <c r="N16" s="108"/>
      <c r="O16" s="5"/>
      <c r="P16" s="5"/>
      <c r="Q16" s="13"/>
      <c r="S16" s="35" t="s">
        <v>12</v>
      </c>
      <c r="T16" s="157">
        <f>SUM(T5:T15)</f>
        <v>288</v>
      </c>
    </row>
    <row r="17" spans="2:20" ht="15.6">
      <c r="B17" s="6"/>
      <c r="C17" s="14"/>
      <c r="D17" s="108"/>
      <c r="E17" s="110"/>
      <c r="F17" s="110"/>
      <c r="G17" s="111"/>
      <c r="H17" s="112"/>
      <c r="I17" s="112"/>
      <c r="J17" s="113"/>
      <c r="K17" s="107"/>
      <c r="L17" s="107"/>
      <c r="M17" s="107"/>
      <c r="N17" s="107"/>
      <c r="O17" s="7"/>
      <c r="P17" s="7"/>
      <c r="Q17" s="15"/>
    </row>
    <row r="18" spans="2:20" ht="15.95" thickBot="1">
      <c r="B18" s="16"/>
      <c r="C18" s="4"/>
      <c r="D18" s="109"/>
      <c r="E18" s="109"/>
      <c r="F18" s="109"/>
      <c r="G18" s="114"/>
      <c r="H18" s="112"/>
      <c r="I18" s="112"/>
      <c r="J18" s="115"/>
      <c r="K18" s="108"/>
      <c r="L18" s="108"/>
      <c r="M18" s="108"/>
      <c r="N18" s="108"/>
      <c r="O18" s="5"/>
      <c r="P18" s="5"/>
      <c r="Q18" s="13"/>
      <c r="S18" s="55" t="s">
        <v>52</v>
      </c>
    </row>
    <row r="19" spans="2:20" ht="15.95" thickBot="1">
      <c r="B19" s="16"/>
      <c r="C19" s="4" t="s">
        <v>53</v>
      </c>
      <c r="D19" s="4"/>
      <c r="E19" s="4"/>
      <c r="F19" s="4"/>
      <c r="G19" s="17"/>
      <c r="H19" s="106"/>
      <c r="I19" s="106"/>
      <c r="J19" s="18"/>
      <c r="K19" s="5" t="s">
        <v>54</v>
      </c>
      <c r="L19" s="5"/>
      <c r="M19" s="5"/>
      <c r="N19" s="19"/>
      <c r="O19" s="19"/>
      <c r="P19" s="19"/>
      <c r="Q19" s="20"/>
      <c r="S19" s="35" t="s">
        <v>55</v>
      </c>
      <c r="T19" s="56" t="s">
        <v>28</v>
      </c>
    </row>
    <row r="20" spans="2:20" ht="15.95" thickTop="1">
      <c r="B20" s="16"/>
      <c r="C20" s="4"/>
      <c r="D20" s="4"/>
      <c r="E20" s="4"/>
      <c r="F20" s="4"/>
      <c r="G20" s="4"/>
      <c r="H20" s="21"/>
      <c r="I20" s="21"/>
      <c r="J20" s="5"/>
      <c r="K20" s="5"/>
      <c r="L20" s="5"/>
      <c r="M20" s="22"/>
      <c r="N20" s="23"/>
      <c r="O20" s="24"/>
      <c r="P20" s="24"/>
      <c r="Q20" s="24"/>
      <c r="S20" s="91" t="s">
        <v>6</v>
      </c>
      <c r="T20" s="156">
        <f>T10+T11</f>
        <v>20</v>
      </c>
    </row>
    <row r="21" spans="2:20" ht="15.6">
      <c r="B21" s="16"/>
      <c r="C21" s="4"/>
      <c r="D21" s="4"/>
      <c r="E21" s="4"/>
      <c r="F21" s="4"/>
      <c r="G21" s="4"/>
      <c r="H21" s="4"/>
      <c r="I21" s="4"/>
      <c r="J21" s="5"/>
      <c r="K21" s="5"/>
      <c r="L21" s="5"/>
      <c r="M21" s="22"/>
      <c r="N21" s="25"/>
      <c r="O21" s="2"/>
      <c r="P21" s="2"/>
      <c r="Q21" s="2"/>
      <c r="S21" s="61" t="s">
        <v>7</v>
      </c>
      <c r="T21" s="138">
        <f>T5+T8+T15</f>
        <v>153</v>
      </c>
    </row>
    <row r="22" spans="2:20" ht="15.95" thickBot="1">
      <c r="B22" s="26"/>
      <c r="C22" s="27"/>
      <c r="D22" s="27"/>
      <c r="E22" s="27"/>
      <c r="F22" s="27"/>
      <c r="G22" s="27"/>
      <c r="H22" s="27"/>
      <c r="I22" s="27"/>
      <c r="J22" s="28"/>
      <c r="K22" s="28"/>
      <c r="L22" s="28"/>
      <c r="M22" s="29"/>
      <c r="N22" s="25"/>
      <c r="O22" s="2"/>
      <c r="P22" s="2"/>
      <c r="Q22" s="2"/>
      <c r="S22" s="62" t="s">
        <v>8</v>
      </c>
      <c r="T22" s="138">
        <f>T6+T9+T14</f>
        <v>90</v>
      </c>
    </row>
    <row r="23" spans="2:20" ht="15" thickTop="1">
      <c r="S23" s="63" t="s">
        <v>9</v>
      </c>
      <c r="T23" s="138">
        <f>T7+T13</f>
        <v>19</v>
      </c>
    </row>
    <row r="24" spans="2:20" ht="15" thickBot="1">
      <c r="C24" s="3" t="s">
        <v>56</v>
      </c>
      <c r="S24" s="94" t="s">
        <v>10</v>
      </c>
      <c r="T24" s="142">
        <f>T12</f>
        <v>6</v>
      </c>
    </row>
    <row r="25" spans="2:20" ht="15" thickBot="1">
      <c r="S25" s="35" t="s">
        <v>12</v>
      </c>
      <c r="T25" s="157">
        <f>SUM(T20:T24)</f>
        <v>288</v>
      </c>
    </row>
    <row r="26" spans="2:20">
      <c r="B26" s="174" t="s">
        <v>57</v>
      </c>
    </row>
    <row r="27" spans="2:20">
      <c r="B27" s="175" t="s">
        <v>58</v>
      </c>
    </row>
    <row r="28" spans="2:20">
      <c r="B28" s="175" t="s">
        <v>59</v>
      </c>
    </row>
    <row r="31" spans="2:20">
      <c r="B31" s="55"/>
    </row>
    <row r="32" spans="2:20" ht="15" thickBot="1">
      <c r="B32" s="55" t="s">
        <v>60</v>
      </c>
      <c r="S32" s="55" t="s">
        <v>24</v>
      </c>
    </row>
    <row r="33" spans="2:20" ht="16.5" thickTop="1" thickBot="1">
      <c r="B33" s="2"/>
      <c r="C33" s="2"/>
      <c r="D33" s="32"/>
      <c r="E33" s="30"/>
      <c r="F33" s="30"/>
      <c r="G33" s="9"/>
      <c r="H33" s="9"/>
      <c r="I33" s="9"/>
      <c r="J33" s="9"/>
      <c r="K33" s="10"/>
      <c r="L33" s="10"/>
      <c r="M33" s="10"/>
      <c r="N33" s="10"/>
      <c r="O33" s="10"/>
      <c r="P33" s="10"/>
      <c r="Q33" s="11"/>
      <c r="S33" s="35" t="s">
        <v>27</v>
      </c>
      <c r="T33" s="56" t="s">
        <v>28</v>
      </c>
    </row>
    <row r="34" spans="2:20" ht="15.95" thickBot="1">
      <c r="B34" s="2"/>
      <c r="C34" s="2"/>
      <c r="D34" s="6"/>
      <c r="E34" s="5"/>
      <c r="F34" s="5" t="s">
        <v>30</v>
      </c>
      <c r="G34" s="5"/>
      <c r="H34" s="5"/>
      <c r="I34" s="5"/>
      <c r="J34" s="5"/>
      <c r="K34" s="4"/>
      <c r="L34" s="4" t="s">
        <v>31</v>
      </c>
      <c r="M34" s="4"/>
      <c r="N34" s="4"/>
      <c r="O34" s="4"/>
      <c r="P34" s="4"/>
      <c r="Q34" s="12"/>
      <c r="S34" s="85" t="s">
        <v>32</v>
      </c>
      <c r="T34" s="156">
        <v>80</v>
      </c>
    </row>
    <row r="35" spans="2:20" ht="15.95" thickTop="1">
      <c r="B35" s="8"/>
      <c r="C35" s="9"/>
      <c r="D35" s="7"/>
      <c r="E35" s="5"/>
      <c r="F35" s="5"/>
      <c r="G35" s="5"/>
      <c r="H35" s="5"/>
      <c r="I35" s="5"/>
      <c r="J35" s="5"/>
      <c r="K35" s="4"/>
      <c r="L35" s="4"/>
      <c r="M35" s="4"/>
      <c r="N35" s="4"/>
      <c r="O35" s="4"/>
      <c r="P35" s="4"/>
      <c r="Q35" s="12"/>
      <c r="S35" s="62" t="s">
        <v>33</v>
      </c>
      <c r="T35" s="138">
        <v>39</v>
      </c>
    </row>
    <row r="36" spans="2:20" ht="15.6">
      <c r="B36" s="6"/>
      <c r="C36" s="5"/>
      <c r="D36" s="5"/>
      <c r="E36" s="7"/>
      <c r="F36" s="5"/>
      <c r="G36" s="5"/>
      <c r="H36" s="5"/>
      <c r="I36" s="4"/>
      <c r="J36" s="4"/>
      <c r="K36" s="4"/>
      <c r="L36" s="4"/>
      <c r="M36" s="4"/>
      <c r="N36" s="4"/>
      <c r="O36" s="4"/>
      <c r="P36" s="4"/>
      <c r="Q36" s="12"/>
      <c r="S36" s="63" t="s">
        <v>35</v>
      </c>
      <c r="T36" s="138">
        <v>11</v>
      </c>
    </row>
    <row r="37" spans="2:20" ht="15.6">
      <c r="B37" s="6"/>
      <c r="C37" s="5"/>
      <c r="D37" s="108"/>
      <c r="E37" s="108"/>
      <c r="F37" s="107"/>
      <c r="G37" s="108"/>
      <c r="H37" s="108"/>
      <c r="I37" s="108"/>
      <c r="J37" s="108"/>
      <c r="K37" s="109"/>
      <c r="L37" s="109"/>
      <c r="M37" s="109"/>
      <c r="N37" s="109"/>
      <c r="O37" s="4"/>
      <c r="P37" s="4"/>
      <c r="Q37" s="12"/>
      <c r="S37" s="61" t="s">
        <v>36</v>
      </c>
      <c r="T37" s="138">
        <v>39</v>
      </c>
    </row>
    <row r="38" spans="2:20" ht="15.6">
      <c r="B38" s="6" t="s">
        <v>38</v>
      </c>
      <c r="C38" s="5"/>
      <c r="D38" s="108"/>
      <c r="E38" s="108"/>
      <c r="F38" s="108"/>
      <c r="G38" s="107"/>
      <c r="H38" s="108"/>
      <c r="I38" s="108"/>
      <c r="J38" s="108"/>
      <c r="K38" s="109"/>
      <c r="L38" s="109"/>
      <c r="M38" s="109"/>
      <c r="N38" s="109"/>
      <c r="O38" s="4"/>
      <c r="P38" s="4"/>
      <c r="Q38" s="12"/>
      <c r="S38" s="62" t="s">
        <v>39</v>
      </c>
      <c r="T38" s="140">
        <v>18</v>
      </c>
    </row>
    <row r="39" spans="2:20" ht="15.6">
      <c r="B39" s="6"/>
      <c r="C39" s="5"/>
      <c r="D39" s="108"/>
      <c r="E39" s="108"/>
      <c r="F39" s="108"/>
      <c r="G39" s="108"/>
      <c r="H39" s="107"/>
      <c r="I39" s="108"/>
      <c r="J39" s="108"/>
      <c r="K39" s="108"/>
      <c r="L39" s="108"/>
      <c r="M39" s="108"/>
      <c r="N39" s="108"/>
      <c r="O39" s="5"/>
      <c r="P39" s="5"/>
      <c r="Q39" s="13"/>
      <c r="S39" s="64" t="s">
        <v>40</v>
      </c>
      <c r="T39" s="138">
        <v>12</v>
      </c>
    </row>
    <row r="40" spans="2:20" ht="15.6">
      <c r="B40" s="6"/>
      <c r="C40" s="5"/>
      <c r="D40" s="109"/>
      <c r="E40" s="109"/>
      <c r="F40" s="109"/>
      <c r="G40" s="109"/>
      <c r="H40" s="109"/>
      <c r="I40" s="107"/>
      <c r="J40" s="108"/>
      <c r="K40" s="108"/>
      <c r="L40" s="108"/>
      <c r="M40" s="108"/>
      <c r="N40" s="108"/>
      <c r="O40" s="5"/>
      <c r="P40" s="5"/>
      <c r="Q40" s="13"/>
      <c r="R40" s="65"/>
      <c r="S40" s="64" t="s">
        <v>42</v>
      </c>
      <c r="T40" s="138">
        <v>11</v>
      </c>
    </row>
    <row r="41" spans="2:20" ht="15.6">
      <c r="B41" s="6"/>
      <c r="C41" s="5"/>
      <c r="D41" s="109"/>
      <c r="E41" s="109"/>
      <c r="F41" s="109" t="s">
        <v>44</v>
      </c>
      <c r="G41" s="109"/>
      <c r="H41" s="109"/>
      <c r="I41" s="107"/>
      <c r="J41" s="108"/>
      <c r="K41" s="108"/>
      <c r="L41" s="108"/>
      <c r="M41" s="108"/>
      <c r="N41" s="108"/>
      <c r="O41" s="5"/>
      <c r="P41" s="5"/>
      <c r="Q41" s="13"/>
      <c r="R41" s="65"/>
      <c r="S41" s="66" t="s">
        <v>45</v>
      </c>
      <c r="T41" s="138">
        <v>5</v>
      </c>
    </row>
    <row r="42" spans="2:20" ht="15.6">
      <c r="B42" s="6"/>
      <c r="C42" s="5"/>
      <c r="D42" s="109"/>
      <c r="E42" s="109"/>
      <c r="F42" s="109"/>
      <c r="G42" s="109"/>
      <c r="H42" s="109"/>
      <c r="I42" s="107"/>
      <c r="J42" s="108"/>
      <c r="K42" s="108"/>
      <c r="L42" s="110"/>
      <c r="M42" s="110"/>
      <c r="N42" s="108"/>
      <c r="O42" s="5"/>
      <c r="P42" s="5"/>
      <c r="Q42" s="13"/>
      <c r="R42" s="65"/>
      <c r="S42" s="63" t="s">
        <v>47</v>
      </c>
      <c r="T42" s="138">
        <v>8</v>
      </c>
    </row>
    <row r="43" spans="2:20" ht="15.6">
      <c r="B43" s="6"/>
      <c r="C43" s="5"/>
      <c r="D43" s="108"/>
      <c r="E43" s="108"/>
      <c r="F43" s="109"/>
      <c r="G43" s="109"/>
      <c r="H43" s="109"/>
      <c r="I43" s="107"/>
      <c r="J43" s="110"/>
      <c r="K43" s="110"/>
      <c r="L43" s="110"/>
      <c r="M43" s="110"/>
      <c r="N43" s="108"/>
      <c r="O43" s="5"/>
      <c r="P43" s="5"/>
      <c r="Q43" s="13"/>
      <c r="R43" s="31"/>
      <c r="S43" s="62" t="s">
        <v>49</v>
      </c>
      <c r="T43" s="138">
        <v>34</v>
      </c>
    </row>
    <row r="44" spans="2:20" ht="15.95" thickBot="1">
      <c r="B44" s="6"/>
      <c r="C44" s="5"/>
      <c r="D44" s="108"/>
      <c r="E44" s="110"/>
      <c r="F44" s="110"/>
      <c r="G44" s="110"/>
      <c r="H44" s="110"/>
      <c r="I44" s="107"/>
      <c r="J44" s="110"/>
      <c r="K44" s="110"/>
      <c r="L44" s="110"/>
      <c r="M44" s="108"/>
      <c r="N44" s="108"/>
      <c r="O44" s="5"/>
      <c r="P44" s="5"/>
      <c r="Q44" s="13"/>
      <c r="S44" s="67" t="s">
        <v>51</v>
      </c>
      <c r="T44" s="142">
        <v>31</v>
      </c>
    </row>
    <row r="45" spans="2:20" ht="15.95" thickBot="1">
      <c r="B45" s="6"/>
      <c r="C45" s="5"/>
      <c r="D45" s="108"/>
      <c r="E45" s="110"/>
      <c r="F45" s="110"/>
      <c r="G45" s="110"/>
      <c r="H45" s="110"/>
      <c r="I45" s="107"/>
      <c r="J45" s="110"/>
      <c r="K45" s="110"/>
      <c r="L45" s="110"/>
      <c r="M45" s="108"/>
      <c r="N45" s="108"/>
      <c r="O45" s="5"/>
      <c r="P45" s="5"/>
      <c r="Q45" s="13"/>
      <c r="S45" s="35" t="s">
        <v>12</v>
      </c>
      <c r="T45" s="157">
        <f>SUM(T34:T44)</f>
        <v>288</v>
      </c>
    </row>
    <row r="46" spans="2:20" ht="15.6">
      <c r="B46" s="6"/>
      <c r="C46" s="14"/>
      <c r="D46" s="108"/>
      <c r="E46" s="110"/>
      <c r="F46" s="110"/>
      <c r="G46" s="111"/>
      <c r="H46" s="112"/>
      <c r="I46" s="112"/>
      <c r="J46" s="113"/>
      <c r="K46" s="107"/>
      <c r="L46" s="107"/>
      <c r="M46" s="107"/>
      <c r="N46" s="107"/>
      <c r="O46" s="7"/>
      <c r="P46" s="7"/>
      <c r="Q46" s="15"/>
    </row>
    <row r="47" spans="2:20" ht="15.95" thickBot="1">
      <c r="B47" s="16"/>
      <c r="C47" s="4"/>
      <c r="D47" s="109"/>
      <c r="E47" s="109"/>
      <c r="F47" s="109"/>
      <c r="G47" s="114"/>
      <c r="H47" s="112"/>
      <c r="I47" s="112"/>
      <c r="J47" s="115"/>
      <c r="K47" s="108"/>
      <c r="L47" s="108"/>
      <c r="M47" s="108"/>
      <c r="N47" s="108"/>
      <c r="O47" s="5"/>
      <c r="P47" s="5"/>
      <c r="Q47" s="13"/>
      <c r="S47" s="55" t="s">
        <v>52</v>
      </c>
    </row>
    <row r="48" spans="2:20" ht="15.95" thickBot="1">
      <c r="B48" s="16"/>
      <c r="C48" s="4" t="s">
        <v>53</v>
      </c>
      <c r="D48" s="4"/>
      <c r="E48" s="4"/>
      <c r="F48" s="4"/>
      <c r="G48" s="17"/>
      <c r="H48" s="106"/>
      <c r="I48" s="5"/>
      <c r="J48" s="18"/>
      <c r="K48" s="5" t="s">
        <v>54</v>
      </c>
      <c r="L48" s="5"/>
      <c r="M48" s="5"/>
      <c r="N48" s="19"/>
      <c r="O48" s="19"/>
      <c r="P48" s="19"/>
      <c r="Q48" s="20"/>
      <c r="S48" s="35" t="s">
        <v>55</v>
      </c>
      <c r="T48" s="56" t="s">
        <v>28</v>
      </c>
    </row>
    <row r="49" spans="2:20" ht="15.95" thickTop="1">
      <c r="B49" s="16"/>
      <c r="C49" s="4"/>
      <c r="D49" s="4"/>
      <c r="E49" s="4"/>
      <c r="F49" s="4"/>
      <c r="G49" s="4"/>
      <c r="H49" s="21"/>
      <c r="I49" s="5"/>
      <c r="J49" s="5"/>
      <c r="K49" s="5"/>
      <c r="L49" s="5"/>
      <c r="M49" s="22"/>
      <c r="N49" s="23"/>
      <c r="O49" s="24"/>
      <c r="P49" s="24"/>
      <c r="Q49" s="24"/>
      <c r="S49" s="91" t="s">
        <v>6</v>
      </c>
      <c r="T49" s="156">
        <f>T39+T40</f>
        <v>23</v>
      </c>
    </row>
    <row r="50" spans="2:20" ht="15.6">
      <c r="B50" s="16"/>
      <c r="C50" s="4"/>
      <c r="D50" s="4"/>
      <c r="E50" s="4"/>
      <c r="F50" s="4"/>
      <c r="G50" s="4"/>
      <c r="H50" s="4"/>
      <c r="I50" s="5"/>
      <c r="J50" s="5"/>
      <c r="K50" s="5"/>
      <c r="L50" s="5"/>
      <c r="M50" s="22"/>
      <c r="N50" s="25"/>
      <c r="O50" s="2"/>
      <c r="P50" s="2"/>
      <c r="Q50" s="2"/>
      <c r="S50" s="61" t="s">
        <v>7</v>
      </c>
      <c r="T50" s="138">
        <f>T34+T37+T44</f>
        <v>150</v>
      </c>
    </row>
    <row r="51" spans="2:20" ht="15.95" thickBot="1">
      <c r="B51" s="26"/>
      <c r="C51" s="27"/>
      <c r="D51" s="27"/>
      <c r="E51" s="27"/>
      <c r="F51" s="27"/>
      <c r="G51" s="27"/>
      <c r="H51" s="27"/>
      <c r="I51" s="27"/>
      <c r="J51" s="28"/>
      <c r="K51" s="28"/>
      <c r="L51" s="28"/>
      <c r="M51" s="29"/>
      <c r="N51" s="25"/>
      <c r="O51" s="2"/>
      <c r="P51" s="2"/>
      <c r="Q51" s="2"/>
      <c r="S51" s="62" t="s">
        <v>8</v>
      </c>
      <c r="T51" s="138">
        <f>T35+T38+T43</f>
        <v>91</v>
      </c>
    </row>
    <row r="52" spans="2:20" ht="15" thickTop="1">
      <c r="S52" s="63" t="s">
        <v>9</v>
      </c>
      <c r="T52" s="138">
        <f>T36+T42</f>
        <v>19</v>
      </c>
    </row>
    <row r="53" spans="2:20" ht="15" thickBot="1">
      <c r="C53" s="3" t="s">
        <v>56</v>
      </c>
      <c r="S53" s="94" t="s">
        <v>10</v>
      </c>
      <c r="T53" s="142">
        <f>T41</f>
        <v>5</v>
      </c>
    </row>
    <row r="54" spans="2:20" ht="15" thickBot="1">
      <c r="S54" s="35" t="s">
        <v>12</v>
      </c>
      <c r="T54" s="157">
        <f>SUM(T49:T53)</f>
        <v>288</v>
      </c>
    </row>
    <row r="56" spans="2:20">
      <c r="D56"/>
      <c r="E56"/>
      <c r="F56"/>
      <c r="G56"/>
      <c r="H56"/>
      <c r="I56"/>
      <c r="J56"/>
      <c r="K56"/>
      <c r="L56"/>
      <c r="M56"/>
      <c r="N56"/>
      <c r="S56" s="82"/>
    </row>
    <row r="57" spans="2:20">
      <c r="D57"/>
      <c r="E57"/>
      <c r="F57"/>
      <c r="G57"/>
      <c r="H57"/>
      <c r="I57"/>
      <c r="J57"/>
      <c r="K57"/>
      <c r="L57"/>
      <c r="M57"/>
      <c r="N57"/>
    </row>
    <row r="58" spans="2:20">
      <c r="B58" s="55"/>
      <c r="D58"/>
      <c r="E58"/>
      <c r="F58"/>
      <c r="G58"/>
      <c r="H58"/>
      <c r="I58"/>
      <c r="J58"/>
      <c r="K58"/>
      <c r="L58"/>
      <c r="M58"/>
      <c r="N58"/>
    </row>
    <row r="59" spans="2:20">
      <c r="B59" s="55"/>
      <c r="D59"/>
      <c r="E59"/>
      <c r="F59"/>
      <c r="G59"/>
      <c r="H59"/>
      <c r="I59"/>
      <c r="J59"/>
      <c r="K59"/>
      <c r="L59"/>
      <c r="M59"/>
      <c r="N59"/>
    </row>
    <row r="60" spans="2:20">
      <c r="B60" s="55"/>
    </row>
  </sheetData>
  <conditionalFormatting sqref="T5:T16 T20:T25">
    <cfRule type="expression" dxfId="13" priority="2">
      <formula>Answers=1</formula>
    </cfRule>
  </conditionalFormatting>
  <conditionalFormatting sqref="T34:T45 T49:T54">
    <cfRule type="expression" dxfId="12" priority="1">
      <formula>Answers=1</formula>
    </cfRule>
  </conditionalFormatting>
  <pageMargins left="0.70866141732283472" right="0.70866141732283472" top="0.74803149606299213" bottom="0.74803149606299213" header="0.31496062992125984" footer="0.31496062992125984"/>
  <pageSetup paperSize="9" fitToHeight="0" orientation="landscape" r:id="rId1"/>
  <headerFooter>
    <oddFooter>&amp;L&amp;P&amp;CESCAP&amp;RSEEA Training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1148D-4934-4134-B8C4-E5D238DEAFE1}">
  <dimension ref="A1:J38"/>
  <sheetViews>
    <sheetView workbookViewId="0">
      <selection activeCell="M8" sqref="M8:M12"/>
    </sheetView>
  </sheetViews>
  <sheetFormatPr defaultColWidth="9.28515625" defaultRowHeight="14.45"/>
  <cols>
    <col min="1" max="1" width="2.28515625" style="3" customWidth="1"/>
    <col min="2" max="2" width="29.28515625" style="3" customWidth="1"/>
    <col min="3" max="3" width="9.28515625" style="3"/>
    <col min="4" max="9" width="6" style="3" customWidth="1"/>
    <col min="10" max="10" width="8.28515625" style="3" customWidth="1"/>
    <col min="11" max="16384" width="9.28515625" style="3"/>
  </cols>
  <sheetData>
    <row r="1" spans="1:10">
      <c r="A1" s="55" t="s">
        <v>61</v>
      </c>
    </row>
    <row r="3" spans="1:10">
      <c r="B3" s="55" t="s">
        <v>17</v>
      </c>
    </row>
    <row r="4" spans="1:10">
      <c r="D4" s="359" t="s">
        <v>18</v>
      </c>
      <c r="E4" s="359"/>
      <c r="F4" s="359"/>
      <c r="G4" s="359"/>
      <c r="H4" s="359"/>
      <c r="I4" s="359"/>
      <c r="J4" s="359"/>
    </row>
    <row r="5" spans="1:10" ht="126" customHeight="1">
      <c r="C5" s="69"/>
      <c r="D5" s="119" t="s">
        <v>6</v>
      </c>
      <c r="E5" s="120" t="s">
        <v>7</v>
      </c>
      <c r="F5" s="121" t="s">
        <v>8</v>
      </c>
      <c r="G5" s="122" t="s">
        <v>9</v>
      </c>
      <c r="H5" s="123" t="s">
        <v>10</v>
      </c>
      <c r="I5" s="70" t="s">
        <v>11</v>
      </c>
      <c r="J5" s="71" t="s">
        <v>19</v>
      </c>
    </row>
    <row r="6" spans="1:10" ht="15" thickBot="1">
      <c r="B6" s="57" t="s">
        <v>20</v>
      </c>
      <c r="C6" s="60" t="s">
        <v>62</v>
      </c>
      <c r="D6" s="72"/>
      <c r="E6" s="73"/>
      <c r="F6" s="73"/>
      <c r="G6" s="73"/>
      <c r="H6" s="73"/>
      <c r="I6" s="74"/>
      <c r="J6" s="71"/>
    </row>
    <row r="7" spans="1:10" ht="15" thickBot="1">
      <c r="B7" s="91" t="s">
        <v>6</v>
      </c>
      <c r="C7" s="76"/>
      <c r="D7" s="159">
        <v>20</v>
      </c>
      <c r="E7" s="160">
        <v>0</v>
      </c>
      <c r="F7" s="161">
        <v>0</v>
      </c>
      <c r="G7" s="161">
        <v>0</v>
      </c>
      <c r="H7" s="161">
        <v>0</v>
      </c>
      <c r="I7" s="162">
        <v>0</v>
      </c>
      <c r="J7" s="163">
        <f t="shared" ref="J7:J12" si="0">SUM(D7:I7)</f>
        <v>20</v>
      </c>
    </row>
    <row r="8" spans="1:10" ht="15" thickBot="1">
      <c r="B8" s="61" t="s">
        <v>7</v>
      </c>
      <c r="C8" s="73"/>
      <c r="D8" s="164">
        <v>3</v>
      </c>
      <c r="E8" s="159">
        <v>142</v>
      </c>
      <c r="F8" s="160">
        <v>8</v>
      </c>
      <c r="G8" s="161">
        <v>0</v>
      </c>
      <c r="H8" s="161">
        <v>0</v>
      </c>
      <c r="I8" s="162">
        <v>0</v>
      </c>
      <c r="J8" s="163">
        <f t="shared" si="0"/>
        <v>153</v>
      </c>
    </row>
    <row r="9" spans="1:10" ht="15" thickBot="1">
      <c r="B9" s="62" t="s">
        <v>8</v>
      </c>
      <c r="C9" s="73"/>
      <c r="D9" s="161">
        <v>0</v>
      </c>
      <c r="E9" s="164">
        <v>2</v>
      </c>
      <c r="F9" s="159">
        <v>88</v>
      </c>
      <c r="G9" s="160">
        <v>0</v>
      </c>
      <c r="H9" s="161">
        <v>0</v>
      </c>
      <c r="I9" s="162">
        <v>0</v>
      </c>
      <c r="J9" s="163">
        <f t="shared" si="0"/>
        <v>90</v>
      </c>
    </row>
    <row r="10" spans="1:10" ht="15" thickBot="1">
      <c r="B10" s="63" t="s">
        <v>9</v>
      </c>
      <c r="C10" s="73"/>
      <c r="D10" s="161">
        <v>0</v>
      </c>
      <c r="E10" s="161">
        <v>0</v>
      </c>
      <c r="F10" s="164">
        <v>0</v>
      </c>
      <c r="G10" s="159">
        <v>19</v>
      </c>
      <c r="H10" s="160">
        <v>0</v>
      </c>
      <c r="I10" s="162">
        <v>0</v>
      </c>
      <c r="J10" s="163">
        <f t="shared" si="0"/>
        <v>19</v>
      </c>
    </row>
    <row r="11" spans="1:10" ht="15" thickBot="1">
      <c r="B11" s="94" t="s">
        <v>10</v>
      </c>
      <c r="C11" s="73"/>
      <c r="D11" s="161">
        <v>0</v>
      </c>
      <c r="E11" s="161">
        <v>1</v>
      </c>
      <c r="F11" s="161">
        <v>0</v>
      </c>
      <c r="G11" s="164">
        <v>0</v>
      </c>
      <c r="H11" s="159">
        <v>5</v>
      </c>
      <c r="I11" s="162">
        <v>0</v>
      </c>
      <c r="J11" s="163">
        <f t="shared" si="0"/>
        <v>6</v>
      </c>
    </row>
    <row r="12" spans="1:10">
      <c r="B12" s="75" t="s">
        <v>11</v>
      </c>
      <c r="C12" s="73"/>
      <c r="D12" s="161">
        <v>0</v>
      </c>
      <c r="E12" s="161">
        <v>0</v>
      </c>
      <c r="F12" s="161">
        <v>0</v>
      </c>
      <c r="G12" s="161">
        <v>0</v>
      </c>
      <c r="H12" s="164">
        <v>0</v>
      </c>
      <c r="I12" s="162">
        <v>0</v>
      </c>
      <c r="J12" s="163">
        <f t="shared" si="0"/>
        <v>0</v>
      </c>
    </row>
    <row r="13" spans="1:10">
      <c r="B13" s="59" t="s">
        <v>21</v>
      </c>
      <c r="C13" s="77"/>
      <c r="D13" s="165">
        <f t="shared" ref="D13:J13" si="1">SUM(D7:D12)</f>
        <v>23</v>
      </c>
      <c r="E13" s="165">
        <f t="shared" si="1"/>
        <v>145</v>
      </c>
      <c r="F13" s="165">
        <f t="shared" si="1"/>
        <v>96</v>
      </c>
      <c r="G13" s="165">
        <f t="shared" si="1"/>
        <v>19</v>
      </c>
      <c r="H13" s="165">
        <f t="shared" si="1"/>
        <v>5</v>
      </c>
      <c r="I13" s="166">
        <f t="shared" si="1"/>
        <v>0</v>
      </c>
      <c r="J13" s="163">
        <f t="shared" si="1"/>
        <v>288</v>
      </c>
    </row>
    <row r="14" spans="1:10">
      <c r="B14" s="78"/>
      <c r="D14" s="79"/>
      <c r="E14" s="79"/>
      <c r="F14" s="79"/>
      <c r="G14" s="79"/>
      <c r="H14" s="79"/>
      <c r="I14" s="79"/>
      <c r="J14" s="79"/>
    </row>
    <row r="15" spans="1:10">
      <c r="D15" s="79"/>
      <c r="E15" s="79"/>
      <c r="F15" s="79"/>
      <c r="G15" s="79"/>
      <c r="H15" s="79"/>
      <c r="I15" s="79"/>
      <c r="J15" s="79"/>
    </row>
    <row r="16" spans="1:10">
      <c r="B16" s="174" t="s">
        <v>63</v>
      </c>
      <c r="D16" s="79"/>
      <c r="E16" s="79"/>
      <c r="F16" s="79"/>
      <c r="G16" s="79"/>
      <c r="H16" s="79"/>
      <c r="I16" s="79"/>
      <c r="J16" s="79"/>
    </row>
    <row r="17" spans="2:10">
      <c r="B17" s="175" t="s">
        <v>64</v>
      </c>
      <c r="D17" s="79"/>
      <c r="E17" s="79"/>
      <c r="F17" s="79"/>
      <c r="G17" s="79"/>
      <c r="H17" s="79"/>
      <c r="I17" s="79"/>
      <c r="J17" s="79"/>
    </row>
    <row r="18" spans="2:10">
      <c r="B18" s="175" t="s">
        <v>65</v>
      </c>
      <c r="D18" s="79"/>
      <c r="E18" s="79"/>
      <c r="F18" s="79"/>
      <c r="G18" s="79"/>
      <c r="H18" s="79"/>
      <c r="I18" s="79"/>
      <c r="J18" s="79"/>
    </row>
    <row r="19" spans="2:10">
      <c r="B19" s="175" t="s">
        <v>66</v>
      </c>
    </row>
    <row r="20" spans="2:10">
      <c r="B20" s="175" t="s">
        <v>67</v>
      </c>
    </row>
    <row r="21" spans="2:10">
      <c r="B21" s="175" t="s">
        <v>68</v>
      </c>
    </row>
    <row r="22" spans="2:10">
      <c r="B22" s="175"/>
    </row>
    <row r="33" spans="2:2">
      <c r="B33" s="55"/>
    </row>
    <row r="34" spans="2:2">
      <c r="B34" s="55"/>
    </row>
    <row r="35" spans="2:2">
      <c r="B35" s="55"/>
    </row>
    <row r="36" spans="2:2">
      <c r="B36" s="55"/>
    </row>
    <row r="37" spans="2:2">
      <c r="B37" s="55"/>
    </row>
    <row r="38" spans="2:2">
      <c r="B38" s="55"/>
    </row>
  </sheetData>
  <mergeCells count="1">
    <mergeCell ref="D4:J4"/>
  </mergeCells>
  <conditionalFormatting sqref="D7:J13">
    <cfRule type="expression" dxfId="11" priority="1">
      <formula>Answers=1</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4F7D2-A9D1-4498-A95E-456B2BACB0EE}">
  <dimension ref="A1:U14"/>
  <sheetViews>
    <sheetView workbookViewId="0">
      <selection activeCell="B3" sqref="B3"/>
    </sheetView>
  </sheetViews>
  <sheetFormatPr defaultColWidth="9.28515625" defaultRowHeight="14.45"/>
  <cols>
    <col min="1" max="1" width="2.28515625" customWidth="1"/>
    <col min="2" max="2" width="29.28515625" customWidth="1"/>
    <col min="4" max="9" width="6" customWidth="1"/>
    <col min="10" max="10" width="8.28515625" customWidth="1"/>
    <col min="13" max="13" width="26.5703125" customWidth="1"/>
  </cols>
  <sheetData>
    <row r="1" spans="1:21" s="3" customFormat="1">
      <c r="A1" s="55" t="s">
        <v>69</v>
      </c>
      <c r="B1" s="175"/>
    </row>
    <row r="2" spans="1:21" s="3" customFormat="1">
      <c r="B2" s="55"/>
    </row>
    <row r="3" spans="1:21" s="3" customFormat="1">
      <c r="B3" s="55" t="s">
        <v>5</v>
      </c>
    </row>
    <row r="4" spans="1:21" s="3" customFormat="1" ht="131.25" customHeight="1">
      <c r="D4" s="119" t="s">
        <v>6</v>
      </c>
      <c r="E4" s="120" t="s">
        <v>7</v>
      </c>
      <c r="F4" s="121" t="s">
        <v>8</v>
      </c>
      <c r="G4" s="122" t="s">
        <v>9</v>
      </c>
      <c r="H4" s="123" t="s">
        <v>10</v>
      </c>
      <c r="I4" s="70" t="s">
        <v>11</v>
      </c>
      <c r="J4" s="80" t="s">
        <v>12</v>
      </c>
      <c r="M4" s="55" t="s">
        <v>17</v>
      </c>
    </row>
    <row r="5" spans="1:21" s="3" customFormat="1" ht="14.25" customHeight="1">
      <c r="B5" s="360" t="s">
        <v>13</v>
      </c>
      <c r="C5" s="361"/>
      <c r="D5" s="167">
        <v>20</v>
      </c>
      <c r="E5" s="167">
        <v>153</v>
      </c>
      <c r="F5" s="167">
        <v>90</v>
      </c>
      <c r="G5" s="167">
        <v>19</v>
      </c>
      <c r="H5" s="167">
        <v>6</v>
      </c>
      <c r="I5" s="167">
        <v>0</v>
      </c>
      <c r="J5" s="168">
        <v>288</v>
      </c>
      <c r="O5" s="359" t="s">
        <v>18</v>
      </c>
      <c r="P5" s="359"/>
      <c r="Q5" s="359"/>
      <c r="R5" s="359"/>
      <c r="S5" s="359"/>
      <c r="T5" s="359"/>
      <c r="U5" s="359"/>
    </row>
    <row r="6" spans="1:21" s="3" customFormat="1" ht="101.1">
      <c r="B6" s="360" t="s">
        <v>14</v>
      </c>
      <c r="C6" s="361"/>
      <c r="D6" s="167">
        <v>3</v>
      </c>
      <c r="E6" s="167">
        <v>3</v>
      </c>
      <c r="F6" s="167">
        <v>8</v>
      </c>
      <c r="G6" s="167">
        <v>0</v>
      </c>
      <c r="H6" s="167">
        <v>0</v>
      </c>
      <c r="I6" s="167">
        <v>0</v>
      </c>
      <c r="J6" s="168">
        <v>14</v>
      </c>
      <c r="N6" s="69"/>
      <c r="O6" s="119" t="s">
        <v>6</v>
      </c>
      <c r="P6" s="120" t="s">
        <v>7</v>
      </c>
      <c r="Q6" s="121" t="s">
        <v>8</v>
      </c>
      <c r="R6" s="122" t="s">
        <v>9</v>
      </c>
      <c r="S6" s="123" t="s">
        <v>10</v>
      </c>
      <c r="T6" s="70" t="s">
        <v>11</v>
      </c>
      <c r="U6" s="71" t="s">
        <v>19</v>
      </c>
    </row>
    <row r="7" spans="1:21" s="3" customFormat="1">
      <c r="B7" s="360" t="s">
        <v>15</v>
      </c>
      <c r="C7" s="361"/>
      <c r="D7" s="167">
        <v>0</v>
      </c>
      <c r="E7" s="167">
        <v>11</v>
      </c>
      <c r="F7" s="167">
        <v>2</v>
      </c>
      <c r="G7" s="167">
        <v>0</v>
      </c>
      <c r="H7" s="167">
        <v>1</v>
      </c>
      <c r="I7" s="167">
        <v>0</v>
      </c>
      <c r="J7" s="168">
        <v>14</v>
      </c>
      <c r="M7" s="57" t="s">
        <v>20</v>
      </c>
      <c r="N7" s="60" t="s">
        <v>62</v>
      </c>
      <c r="O7" s="72"/>
      <c r="P7" s="73"/>
      <c r="Q7" s="73"/>
      <c r="R7" s="73"/>
      <c r="S7" s="73"/>
      <c r="T7" s="74"/>
      <c r="U7" s="71"/>
    </row>
    <row r="8" spans="1:21" s="3" customFormat="1">
      <c r="B8" s="360" t="s">
        <v>16</v>
      </c>
      <c r="C8" s="361"/>
      <c r="D8" s="167">
        <v>23</v>
      </c>
      <c r="E8" s="167">
        <v>145</v>
      </c>
      <c r="F8" s="167">
        <v>96</v>
      </c>
      <c r="G8" s="167">
        <v>19</v>
      </c>
      <c r="H8" s="167">
        <v>5</v>
      </c>
      <c r="I8" s="167">
        <v>0</v>
      </c>
      <c r="J8" s="168">
        <v>288</v>
      </c>
      <c r="M8" s="91" t="s">
        <v>6</v>
      </c>
      <c r="N8" s="76"/>
      <c r="O8" s="159">
        <v>20</v>
      </c>
      <c r="P8" s="160">
        <v>0</v>
      </c>
      <c r="Q8" s="161">
        <v>0</v>
      </c>
      <c r="R8" s="161">
        <v>0</v>
      </c>
      <c r="S8" s="161">
        <v>0</v>
      </c>
      <c r="T8" s="162">
        <v>0</v>
      </c>
      <c r="U8" s="163">
        <f t="shared" ref="U8:U13" si="0">SUM(O8:T8)</f>
        <v>20</v>
      </c>
    </row>
    <row r="9" spans="1:21" s="3" customFormat="1">
      <c r="B9" s="81"/>
      <c r="M9" s="61" t="s">
        <v>7</v>
      </c>
      <c r="N9" s="73"/>
      <c r="O9" s="164">
        <v>3</v>
      </c>
      <c r="P9" s="159">
        <v>142</v>
      </c>
      <c r="Q9" s="160">
        <v>8</v>
      </c>
      <c r="R9" s="161">
        <v>0</v>
      </c>
      <c r="S9" s="161">
        <v>0</v>
      </c>
      <c r="T9" s="162">
        <v>0</v>
      </c>
      <c r="U9" s="163">
        <f t="shared" si="0"/>
        <v>153</v>
      </c>
    </row>
    <row r="10" spans="1:21" s="3" customFormat="1">
      <c r="M10" s="62" t="s">
        <v>8</v>
      </c>
      <c r="N10" s="73"/>
      <c r="O10" s="161">
        <v>0</v>
      </c>
      <c r="P10" s="164">
        <v>2</v>
      </c>
      <c r="Q10" s="159">
        <v>88</v>
      </c>
      <c r="R10" s="160">
        <v>0</v>
      </c>
      <c r="S10" s="161">
        <v>0</v>
      </c>
      <c r="T10" s="162">
        <v>0</v>
      </c>
      <c r="U10" s="163">
        <f t="shared" si="0"/>
        <v>90</v>
      </c>
    </row>
    <row r="11" spans="1:21">
      <c r="M11" s="63" t="s">
        <v>9</v>
      </c>
      <c r="N11" s="73"/>
      <c r="O11" s="161">
        <v>0</v>
      </c>
      <c r="P11" s="161">
        <v>0</v>
      </c>
      <c r="Q11" s="164">
        <v>0</v>
      </c>
      <c r="R11" s="159">
        <v>19</v>
      </c>
      <c r="S11" s="160">
        <v>0</v>
      </c>
      <c r="T11" s="162">
        <v>0</v>
      </c>
      <c r="U11" s="163">
        <f t="shared" si="0"/>
        <v>19</v>
      </c>
    </row>
    <row r="12" spans="1:21">
      <c r="M12" s="94" t="s">
        <v>10</v>
      </c>
      <c r="N12" s="73"/>
      <c r="O12" s="161">
        <v>0</v>
      </c>
      <c r="P12" s="161">
        <v>1</v>
      </c>
      <c r="Q12" s="161">
        <v>0</v>
      </c>
      <c r="R12" s="164">
        <v>0</v>
      </c>
      <c r="S12" s="159">
        <v>5</v>
      </c>
      <c r="T12" s="162">
        <v>0</v>
      </c>
      <c r="U12" s="163">
        <f t="shared" si="0"/>
        <v>6</v>
      </c>
    </row>
    <row r="13" spans="1:21">
      <c r="M13" s="75" t="s">
        <v>11</v>
      </c>
      <c r="N13" s="73"/>
      <c r="O13" s="161">
        <v>0</v>
      </c>
      <c r="P13" s="161">
        <v>0</v>
      </c>
      <c r="Q13" s="161">
        <v>0</v>
      </c>
      <c r="R13" s="161">
        <v>0</v>
      </c>
      <c r="S13" s="164">
        <v>0</v>
      </c>
      <c r="T13" s="162">
        <v>0</v>
      </c>
      <c r="U13" s="163">
        <f t="shared" si="0"/>
        <v>0</v>
      </c>
    </row>
    <row r="14" spans="1:21">
      <c r="M14" s="59" t="s">
        <v>21</v>
      </c>
      <c r="N14" s="77"/>
      <c r="O14" s="165">
        <f t="shared" ref="O14:U14" si="1">SUM(O8:O13)</f>
        <v>23</v>
      </c>
      <c r="P14" s="165">
        <f t="shared" si="1"/>
        <v>145</v>
      </c>
      <c r="Q14" s="165">
        <f t="shared" si="1"/>
        <v>96</v>
      </c>
      <c r="R14" s="165">
        <f t="shared" si="1"/>
        <v>19</v>
      </c>
      <c r="S14" s="165">
        <f t="shared" si="1"/>
        <v>5</v>
      </c>
      <c r="T14" s="166">
        <f t="shared" si="1"/>
        <v>0</v>
      </c>
      <c r="U14" s="163">
        <f t="shared" si="1"/>
        <v>288</v>
      </c>
    </row>
  </sheetData>
  <mergeCells count="5">
    <mergeCell ref="B5:C5"/>
    <mergeCell ref="B6:C6"/>
    <mergeCell ref="B7:C7"/>
    <mergeCell ref="B8:C8"/>
    <mergeCell ref="O5:U5"/>
  </mergeCells>
  <conditionalFormatting sqref="D5:J8">
    <cfRule type="expression" dxfId="10" priority="2">
      <formula>Answers=1</formula>
    </cfRule>
  </conditionalFormatting>
  <conditionalFormatting sqref="O8:U14">
    <cfRule type="expression" dxfId="9" priority="1">
      <formula>Answers=1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F67"/>
  <sheetViews>
    <sheetView showGridLines="0" topLeftCell="A59" zoomScaleNormal="100" workbookViewId="0">
      <selection activeCell="S71" sqref="S71"/>
    </sheetView>
  </sheetViews>
  <sheetFormatPr defaultColWidth="9.28515625" defaultRowHeight="14.45"/>
  <cols>
    <col min="1" max="1" width="2.7109375" style="3" customWidth="1"/>
    <col min="2" max="17" width="3.5703125" style="3" customWidth="1"/>
    <col min="18" max="18" width="3.7109375" style="3" customWidth="1"/>
    <col min="19" max="19" width="37.7109375" style="3" customWidth="1"/>
    <col min="20" max="20" width="13.5703125" style="3" customWidth="1"/>
    <col min="21" max="24" width="12" style="3" customWidth="1"/>
    <col min="25" max="16384" width="9.28515625" style="3"/>
  </cols>
  <sheetData>
    <row r="1" spans="1:32" ht="19.5">
      <c r="A1" s="326" t="s">
        <v>70</v>
      </c>
      <c r="B1" s="55"/>
    </row>
    <row r="2" spans="1:32">
      <c r="B2" s="174" t="s">
        <v>57</v>
      </c>
      <c r="D2"/>
      <c r="E2"/>
      <c r="F2"/>
      <c r="G2"/>
      <c r="H2"/>
      <c r="I2"/>
      <c r="J2"/>
      <c r="K2"/>
      <c r="L2"/>
      <c r="M2"/>
      <c r="N2"/>
      <c r="S2" s="82"/>
      <c r="T2" s="82"/>
    </row>
    <row r="3" spans="1:32">
      <c r="B3" s="175" t="s">
        <v>71</v>
      </c>
      <c r="D3"/>
      <c r="E3"/>
      <c r="F3"/>
      <c r="G3"/>
      <c r="H3"/>
      <c r="I3"/>
      <c r="J3"/>
      <c r="K3"/>
      <c r="L3"/>
      <c r="M3"/>
      <c r="N3"/>
      <c r="S3" s="82"/>
      <c r="T3" s="82"/>
    </row>
    <row r="4" spans="1:32">
      <c r="B4" s="175" t="s">
        <v>72</v>
      </c>
      <c r="AD4" s="43">
        <f>(U16+V16+W16)/3</f>
        <v>5.666666666666667</v>
      </c>
    </row>
    <row r="5" spans="1:32">
      <c r="B5" s="175" t="s">
        <v>73</v>
      </c>
    </row>
    <row r="6" spans="1:32">
      <c r="B6" s="175"/>
    </row>
    <row r="7" spans="1:32" ht="15" thickBot="1">
      <c r="B7" s="55" t="s">
        <v>74</v>
      </c>
      <c r="S7" s="55" t="s">
        <v>75</v>
      </c>
    </row>
    <row r="8" spans="1:32" ht="58.5" thickBot="1">
      <c r="S8" s="35" t="s">
        <v>27</v>
      </c>
      <c r="T8" s="83" t="s">
        <v>76</v>
      </c>
      <c r="U8" s="50" t="s">
        <v>77</v>
      </c>
      <c r="V8" s="51" t="s">
        <v>78</v>
      </c>
      <c r="W8" s="84" t="s">
        <v>79</v>
      </c>
      <c r="X8" s="58" t="s">
        <v>80</v>
      </c>
    </row>
    <row r="9" spans="1:32" ht="15" thickTop="1">
      <c r="A9" s="55"/>
      <c r="B9" s="55"/>
      <c r="C9" s="55"/>
      <c r="D9" s="291"/>
      <c r="E9" s="292"/>
      <c r="F9" s="292"/>
      <c r="G9" s="293"/>
      <c r="H9" s="293"/>
      <c r="I9" s="293"/>
      <c r="J9" s="293"/>
      <c r="K9" s="294"/>
      <c r="L9" s="294"/>
      <c r="M9" s="294"/>
      <c r="N9" s="294"/>
      <c r="O9" s="294"/>
      <c r="P9" s="294"/>
      <c r="Q9" s="295"/>
      <c r="S9" s="85" t="s">
        <v>32</v>
      </c>
      <c r="T9" s="86">
        <f>'Ex 1-Units'!T5</f>
        <v>80</v>
      </c>
      <c r="U9" s="43">
        <v>4</v>
      </c>
      <c r="V9" s="87">
        <v>3</v>
      </c>
      <c r="W9" s="53">
        <v>5</v>
      </c>
      <c r="X9" s="43">
        <f t="shared" ref="X9:X19" si="0">(U9+V9+W9)/3</f>
        <v>4</v>
      </c>
      <c r="Y9" s="322"/>
      <c r="Z9" s="322"/>
      <c r="AA9" s="322"/>
      <c r="AB9" s="322"/>
      <c r="AC9" s="322"/>
      <c r="AD9" s="322"/>
    </row>
    <row r="10" spans="1:32" ht="15" thickBot="1">
      <c r="B10" s="55"/>
      <c r="C10" s="55"/>
      <c r="D10" s="296"/>
      <c r="E10" s="297"/>
      <c r="F10" s="297" t="s">
        <v>30</v>
      </c>
      <c r="G10" s="297"/>
      <c r="H10" s="297"/>
      <c r="I10" s="297"/>
      <c r="J10" s="297"/>
      <c r="K10" s="298"/>
      <c r="L10" s="298" t="s">
        <v>31</v>
      </c>
      <c r="M10" s="298"/>
      <c r="N10" s="298"/>
      <c r="O10" s="298"/>
      <c r="P10" s="298"/>
      <c r="Q10" s="299"/>
      <c r="S10" s="62" t="s">
        <v>33</v>
      </c>
      <c r="T10" s="86">
        <f>'Ex 1-Units'!T6</f>
        <v>42</v>
      </c>
      <c r="U10" s="149">
        <v>6</v>
      </c>
      <c r="V10" s="152">
        <v>7</v>
      </c>
      <c r="W10" s="153">
        <v>6</v>
      </c>
      <c r="X10" s="151">
        <f t="shared" si="0"/>
        <v>6.333333333333333</v>
      </c>
      <c r="Y10" s="323" t="s">
        <v>81</v>
      </c>
      <c r="Z10" s="322"/>
      <c r="AA10" s="322">
        <v>5</v>
      </c>
      <c r="AB10" s="322">
        <v>6</v>
      </c>
      <c r="AC10" s="322">
        <v>6</v>
      </c>
      <c r="AD10" s="322">
        <f>SUM(AA10:AC10)/3</f>
        <v>5.666666666666667</v>
      </c>
    </row>
    <row r="11" spans="1:32" ht="15" thickTop="1">
      <c r="B11" s="291"/>
      <c r="C11" s="293"/>
      <c r="D11" s="209"/>
      <c r="E11" s="300"/>
      <c r="F11" s="300"/>
      <c r="G11" s="300"/>
      <c r="H11" s="300"/>
      <c r="I11" s="300"/>
      <c r="J11" s="300"/>
      <c r="K11" s="206"/>
      <c r="L11" s="301" t="s">
        <v>82</v>
      </c>
      <c r="M11" s="206"/>
      <c r="N11" s="206"/>
      <c r="O11" s="298"/>
      <c r="P11" s="298"/>
      <c r="Q11" s="299"/>
      <c r="S11" s="63" t="s">
        <v>83</v>
      </c>
      <c r="T11" s="86">
        <f>'Ex 1-Units'!T7</f>
        <v>11</v>
      </c>
      <c r="U11" s="40">
        <v>5</v>
      </c>
      <c r="V11" s="41">
        <v>6</v>
      </c>
      <c r="W11" s="42">
        <v>6</v>
      </c>
      <c r="X11" s="43">
        <f t="shared" si="0"/>
        <v>5.666666666666667</v>
      </c>
      <c r="Y11" s="323"/>
      <c r="Z11" s="322"/>
      <c r="AA11" s="324">
        <f>AA10-U10</f>
        <v>-1</v>
      </c>
      <c r="AB11" s="324">
        <f t="shared" ref="AB11:AC11" si="1">AB10-V10</f>
        <v>-1</v>
      </c>
      <c r="AC11" s="324">
        <f t="shared" si="1"/>
        <v>0</v>
      </c>
      <c r="AD11" s="322">
        <f>SUM(AA11:AC11)/3</f>
        <v>-0.66666666666666663</v>
      </c>
      <c r="AF11" s="150">
        <f>(T10*AD11+AD14*T13+AD19*T18)/90</f>
        <v>-8.8888888888888892E-2</v>
      </c>
    </row>
    <row r="12" spans="1:32">
      <c r="B12" s="296"/>
      <c r="C12" s="297"/>
      <c r="D12" s="300"/>
      <c r="E12" s="209"/>
      <c r="F12" s="300"/>
      <c r="G12" s="300"/>
      <c r="H12" s="300"/>
      <c r="I12" s="300"/>
      <c r="J12" s="300"/>
      <c r="K12" s="206"/>
      <c r="L12" s="301"/>
      <c r="M12" s="206"/>
      <c r="N12" s="206"/>
      <c r="O12" s="298"/>
      <c r="P12" s="298"/>
      <c r="Q12" s="299"/>
      <c r="S12" s="61" t="s">
        <v>36</v>
      </c>
      <c r="T12" s="86">
        <f>'Ex 1-Units'!T8</f>
        <v>45</v>
      </c>
      <c r="U12" s="44">
        <v>3</v>
      </c>
      <c r="V12" s="41">
        <v>2</v>
      </c>
      <c r="W12" s="42">
        <v>4</v>
      </c>
      <c r="X12" s="43">
        <f t="shared" si="0"/>
        <v>3</v>
      </c>
      <c r="Y12" s="323"/>
      <c r="Z12" s="322"/>
      <c r="AA12" s="322"/>
      <c r="AB12" s="322"/>
      <c r="AC12" s="322"/>
      <c r="AD12" s="322"/>
    </row>
    <row r="13" spans="1:32">
      <c r="B13" s="296"/>
      <c r="C13" s="297"/>
      <c r="D13" s="300"/>
      <c r="E13" s="300"/>
      <c r="F13" s="209"/>
      <c r="G13" s="300"/>
      <c r="H13" s="300"/>
      <c r="I13" s="300"/>
      <c r="J13" s="300"/>
      <c r="K13" s="206"/>
      <c r="L13" s="206"/>
      <c r="M13" s="206"/>
      <c r="N13" s="206"/>
      <c r="O13" s="298"/>
      <c r="P13" s="298"/>
      <c r="Q13" s="299"/>
      <c r="S13" s="62" t="s">
        <v>39</v>
      </c>
      <c r="T13" s="86">
        <f>'Ex 1-Units'!T9</f>
        <v>12</v>
      </c>
      <c r="U13" s="154">
        <v>6</v>
      </c>
      <c r="V13" s="152">
        <v>7</v>
      </c>
      <c r="W13" s="153">
        <v>5</v>
      </c>
      <c r="X13" s="149">
        <f t="shared" si="0"/>
        <v>6</v>
      </c>
      <c r="Y13" s="323" t="s">
        <v>81</v>
      </c>
      <c r="Z13" s="322"/>
      <c r="AA13" s="322">
        <v>6</v>
      </c>
      <c r="AB13" s="322">
        <v>6</v>
      </c>
      <c r="AC13" s="322">
        <v>5</v>
      </c>
      <c r="AD13" s="322">
        <f>SUM(AA13:AC13)/3</f>
        <v>5.666666666666667</v>
      </c>
    </row>
    <row r="14" spans="1:32">
      <c r="B14" s="296" t="s">
        <v>38</v>
      </c>
      <c r="C14" s="297"/>
      <c r="D14" s="300"/>
      <c r="E14" s="300"/>
      <c r="F14" s="300"/>
      <c r="G14" s="209"/>
      <c r="H14" s="300"/>
      <c r="I14" s="300"/>
      <c r="J14" s="300"/>
      <c r="K14" s="206"/>
      <c r="L14" s="206"/>
      <c r="M14" s="206"/>
      <c r="N14" s="206"/>
      <c r="O14" s="298"/>
      <c r="P14" s="298"/>
      <c r="Q14" s="299"/>
      <c r="S14" s="64" t="s">
        <v>40</v>
      </c>
      <c r="T14" s="86">
        <f>'Ex 1-Units'!T10</f>
        <v>9</v>
      </c>
      <c r="U14" s="40">
        <v>2</v>
      </c>
      <c r="V14" s="41">
        <v>2</v>
      </c>
      <c r="W14" s="42">
        <v>4</v>
      </c>
      <c r="X14" s="43">
        <f t="shared" si="0"/>
        <v>2.6666666666666665</v>
      </c>
      <c r="Y14" s="323"/>
      <c r="Z14" s="322"/>
      <c r="AA14" s="324">
        <f>AA13-U13</f>
        <v>0</v>
      </c>
      <c r="AB14" s="324">
        <f t="shared" ref="AB14:AC14" si="2">AB13-V13</f>
        <v>-1</v>
      </c>
      <c r="AC14" s="324">
        <f t="shared" si="2"/>
        <v>0</v>
      </c>
      <c r="AD14" s="322">
        <f>SUM(AA14:AC14)/3</f>
        <v>-0.33333333333333331</v>
      </c>
    </row>
    <row r="15" spans="1:32">
      <c r="B15" s="296"/>
      <c r="C15" s="297"/>
      <c r="D15" s="300"/>
      <c r="E15" s="300"/>
      <c r="F15" s="300"/>
      <c r="G15" s="300"/>
      <c r="H15" s="209"/>
      <c r="I15" s="300"/>
      <c r="J15" s="300"/>
      <c r="K15" s="300"/>
      <c r="L15" s="300"/>
      <c r="M15" s="300"/>
      <c r="N15" s="300"/>
      <c r="O15" s="297"/>
      <c r="P15" s="297"/>
      <c r="Q15" s="302"/>
      <c r="R15" s="65"/>
      <c r="S15" s="64" t="s">
        <v>42</v>
      </c>
      <c r="T15" s="86">
        <f>'Ex 1-Units'!T11</f>
        <v>11</v>
      </c>
      <c r="U15" s="44">
        <v>2</v>
      </c>
      <c r="V15" s="96">
        <v>1</v>
      </c>
      <c r="W15" s="97">
        <v>3</v>
      </c>
      <c r="X15" s="98">
        <f t="shared" si="0"/>
        <v>2</v>
      </c>
      <c r="Y15" s="323" t="s">
        <v>81</v>
      </c>
      <c r="Z15" s="322"/>
      <c r="AA15" s="322"/>
      <c r="AB15" s="322"/>
      <c r="AC15" s="322"/>
      <c r="AD15" s="322"/>
    </row>
    <row r="16" spans="1:32">
      <c r="B16" s="296"/>
      <c r="C16" s="297"/>
      <c r="D16" s="300"/>
      <c r="E16" s="300"/>
      <c r="F16" s="206" t="s">
        <v>44</v>
      </c>
      <c r="G16" s="206"/>
      <c r="H16" s="206"/>
      <c r="I16" s="209"/>
      <c r="J16" s="300"/>
      <c r="K16" s="300"/>
      <c r="L16" s="300"/>
      <c r="M16" s="300"/>
      <c r="N16" s="300"/>
      <c r="O16" s="297"/>
      <c r="P16" s="297"/>
      <c r="Q16" s="302"/>
      <c r="R16" s="65"/>
      <c r="S16" s="66" t="s">
        <v>84</v>
      </c>
      <c r="T16" s="86">
        <f>'Ex 1-Units'!T12</f>
        <v>6</v>
      </c>
      <c r="U16" s="44">
        <v>5</v>
      </c>
      <c r="V16" s="41">
        <v>7</v>
      </c>
      <c r="W16" s="346">
        <v>5</v>
      </c>
      <c r="X16" s="54"/>
      <c r="Y16" s="323"/>
      <c r="Z16" s="322"/>
      <c r="AA16" s="322"/>
      <c r="AB16" s="322"/>
      <c r="AC16" s="322"/>
      <c r="AD16" s="322"/>
    </row>
    <row r="17" spans="1:30">
      <c r="B17" s="296"/>
      <c r="C17" s="297"/>
      <c r="D17" s="300"/>
      <c r="E17" s="300"/>
      <c r="F17" s="301" t="s">
        <v>85</v>
      </c>
      <c r="G17" s="206"/>
      <c r="H17" s="206"/>
      <c r="I17" s="209"/>
      <c r="J17" s="300"/>
      <c r="K17" s="300"/>
      <c r="L17" s="300"/>
      <c r="M17" s="300"/>
      <c r="N17" s="300"/>
      <c r="O17" s="297"/>
      <c r="P17" s="297"/>
      <c r="Q17" s="302"/>
      <c r="R17" s="65"/>
      <c r="S17" s="63" t="s">
        <v>86</v>
      </c>
      <c r="T17" s="86">
        <f>'Ex 1-Units'!T13</f>
        <v>8</v>
      </c>
      <c r="U17" s="44">
        <v>3</v>
      </c>
      <c r="V17" s="41">
        <v>3</v>
      </c>
      <c r="W17" s="346">
        <v>4</v>
      </c>
      <c r="X17" s="41">
        <f t="shared" si="0"/>
        <v>3.3333333333333335</v>
      </c>
      <c r="Y17" s="323"/>
      <c r="Z17" s="322"/>
      <c r="AA17" s="322"/>
      <c r="AB17" s="322"/>
      <c r="AC17" s="322"/>
      <c r="AD17" s="322"/>
    </row>
    <row r="18" spans="1:30">
      <c r="B18" s="296"/>
      <c r="C18" s="297"/>
      <c r="D18" s="300"/>
      <c r="E18" s="300"/>
      <c r="F18" s="301" t="s">
        <v>87</v>
      </c>
      <c r="G18" s="206"/>
      <c r="H18" s="206"/>
      <c r="I18" s="209"/>
      <c r="J18" s="300"/>
      <c r="K18" s="300"/>
      <c r="L18" s="300"/>
      <c r="M18" s="300"/>
      <c r="N18" s="300"/>
      <c r="O18" s="297"/>
      <c r="P18" s="297"/>
      <c r="Q18" s="302"/>
      <c r="R18" s="65"/>
      <c r="S18" s="62" t="s">
        <v>49</v>
      </c>
      <c r="T18" s="86">
        <f>'Ex 1-Units'!T14</f>
        <v>36</v>
      </c>
      <c r="U18" s="149">
        <v>4</v>
      </c>
      <c r="V18" s="152">
        <v>6</v>
      </c>
      <c r="W18" s="153">
        <v>4</v>
      </c>
      <c r="X18" s="149">
        <f t="shared" si="0"/>
        <v>4.666666666666667</v>
      </c>
      <c r="Y18" s="323" t="s">
        <v>81</v>
      </c>
      <c r="Z18" s="322"/>
      <c r="AA18" s="322">
        <v>5</v>
      </c>
      <c r="AB18" s="322">
        <v>6</v>
      </c>
      <c r="AC18" s="322">
        <v>5</v>
      </c>
      <c r="AD18" s="322">
        <f>SUM(AA18:AC18)/3</f>
        <v>5.333333333333333</v>
      </c>
    </row>
    <row r="19" spans="1:30" ht="15" thickBot="1">
      <c r="B19" s="296"/>
      <c r="C19" s="297"/>
      <c r="D19" s="300"/>
      <c r="E19" s="300"/>
      <c r="F19" s="301" t="s">
        <v>88</v>
      </c>
      <c r="G19" s="206"/>
      <c r="H19" s="206"/>
      <c r="I19" s="209"/>
      <c r="J19" s="213"/>
      <c r="K19" s="213"/>
      <c r="L19" s="213"/>
      <c r="M19" s="300"/>
      <c r="N19" s="300"/>
      <c r="O19" s="297"/>
      <c r="P19" s="297"/>
      <c r="Q19" s="302"/>
      <c r="S19" s="67" t="s">
        <v>51</v>
      </c>
      <c r="T19" s="86">
        <f>'Ex 1-Units'!T15</f>
        <v>28</v>
      </c>
      <c r="U19" s="44">
        <v>3</v>
      </c>
      <c r="V19" s="41">
        <v>2</v>
      </c>
      <c r="W19" s="42">
        <v>3</v>
      </c>
      <c r="X19" s="43">
        <f t="shared" si="0"/>
        <v>2.6666666666666665</v>
      </c>
      <c r="Y19" s="323"/>
      <c r="Z19" s="322"/>
      <c r="AA19" s="324">
        <f>AA18-U18</f>
        <v>1</v>
      </c>
      <c r="AB19" s="324">
        <f t="shared" ref="AB19" si="3">AB18-V18</f>
        <v>0</v>
      </c>
      <c r="AC19" s="324">
        <f t="shared" ref="AC19" si="4">AC18-W18</f>
        <v>1</v>
      </c>
      <c r="AD19" s="322">
        <f>SUM(AA19:AC19)/3</f>
        <v>0.66666666666666663</v>
      </c>
    </row>
    <row r="20" spans="1:30" ht="15" thickBot="1">
      <c r="B20" s="296"/>
      <c r="C20" s="297"/>
      <c r="D20" s="300"/>
      <c r="E20" s="213"/>
      <c r="F20" s="213"/>
      <c r="G20" s="213"/>
      <c r="H20" s="213"/>
      <c r="I20" s="209"/>
      <c r="J20" s="213"/>
      <c r="K20" s="213"/>
      <c r="L20" s="213"/>
      <c r="M20" s="300"/>
      <c r="N20" s="300"/>
      <c r="O20" s="297"/>
      <c r="P20" s="297"/>
      <c r="Q20" s="302"/>
      <c r="S20" s="35"/>
      <c r="T20" s="89">
        <f>SUM(T9:T19)</f>
        <v>288</v>
      </c>
      <c r="U20" s="45"/>
      <c r="V20" s="46"/>
      <c r="W20" s="47"/>
      <c r="X20" s="48"/>
      <c r="Y20" s="322"/>
      <c r="Z20" s="322"/>
      <c r="AA20" s="322"/>
      <c r="AB20" s="322"/>
      <c r="AC20" s="322"/>
      <c r="AD20" s="322"/>
    </row>
    <row r="21" spans="1:30" ht="15" thickBot="1">
      <c r="B21" s="296"/>
      <c r="C21" s="297"/>
      <c r="D21" s="300"/>
      <c r="E21" s="213"/>
      <c r="F21" s="213"/>
      <c r="G21" s="213"/>
      <c r="H21" s="213"/>
      <c r="I21" s="209"/>
      <c r="J21" s="213"/>
      <c r="K21" s="213"/>
      <c r="L21" s="213"/>
      <c r="M21" s="300"/>
      <c r="N21" s="300"/>
      <c r="O21" s="297"/>
      <c r="P21" s="297"/>
      <c r="Q21" s="302"/>
      <c r="T21" s="65"/>
      <c r="U21" s="49"/>
      <c r="V21" s="49"/>
      <c r="W21" s="49"/>
      <c r="X21" s="49"/>
      <c r="Y21" s="322"/>
      <c r="Z21" s="322"/>
      <c r="AA21" s="322"/>
      <c r="AB21" s="322"/>
      <c r="AC21" s="322"/>
      <c r="AD21" s="322"/>
    </row>
    <row r="22" spans="1:30" ht="15" thickBot="1">
      <c r="B22" s="296"/>
      <c r="C22" s="303"/>
      <c r="D22" s="297"/>
      <c r="E22" s="217"/>
      <c r="F22" s="217"/>
      <c r="G22" s="218"/>
      <c r="H22" s="219"/>
      <c r="I22" s="219"/>
      <c r="J22" s="220"/>
      <c r="K22" s="221"/>
      <c r="L22" s="221"/>
      <c r="M22" s="221"/>
      <c r="N22" s="221"/>
      <c r="O22" s="221"/>
      <c r="P22" s="221"/>
      <c r="Q22" s="304"/>
      <c r="S22" s="35" t="s">
        <v>89</v>
      </c>
      <c r="T22" s="90" t="s">
        <v>90</v>
      </c>
      <c r="U22" s="50" t="s">
        <v>91</v>
      </c>
      <c r="V22" s="51" t="s">
        <v>92</v>
      </c>
      <c r="W22" s="52" t="s">
        <v>93</v>
      </c>
      <c r="X22" s="58" t="s">
        <v>80</v>
      </c>
      <c r="Y22" s="322"/>
      <c r="Z22" s="322"/>
      <c r="AA22" s="322"/>
      <c r="AB22" s="322"/>
      <c r="AC22" s="322"/>
      <c r="AD22" s="322"/>
    </row>
    <row r="23" spans="1:30">
      <c r="B23" s="305"/>
      <c r="C23" s="298"/>
      <c r="D23" s="298"/>
      <c r="E23" s="298"/>
      <c r="F23" s="298"/>
      <c r="G23" s="306"/>
      <c r="H23" s="219"/>
      <c r="I23" s="219"/>
      <c r="J23" s="307"/>
      <c r="K23" s="297"/>
      <c r="L23" s="297"/>
      <c r="M23" s="297"/>
      <c r="N23" s="297"/>
      <c r="O23" s="297"/>
      <c r="P23" s="297"/>
      <c r="Q23" s="302"/>
      <c r="S23" s="91" t="s">
        <v>6</v>
      </c>
      <c r="T23" s="92">
        <v>20</v>
      </c>
      <c r="U23" s="151">
        <f>(U14*$T14+U15*$T15)/$T23</f>
        <v>2</v>
      </c>
      <c r="V23" s="151">
        <f>(V14*$T14+V15*$T15)/$T23</f>
        <v>1.45</v>
      </c>
      <c r="W23" s="325">
        <f>(W14*$T14+W15*$T15)/$T23</f>
        <v>3.45</v>
      </c>
      <c r="X23" s="151">
        <f>(U23+V23+W23)/3</f>
        <v>2.3000000000000003</v>
      </c>
      <c r="Y23" s="322"/>
      <c r="Z23" s="322"/>
      <c r="AA23" s="322"/>
      <c r="AB23" s="322"/>
      <c r="AC23" s="322"/>
      <c r="AD23" s="322"/>
    </row>
    <row r="24" spans="1:30" ht="15" thickBot="1">
      <c r="B24" s="305"/>
      <c r="C24" s="298" t="s">
        <v>53</v>
      </c>
      <c r="D24" s="298"/>
      <c r="E24" s="298"/>
      <c r="F24" s="298"/>
      <c r="G24" s="306"/>
      <c r="H24" s="219"/>
      <c r="I24" s="219"/>
      <c r="J24" s="307"/>
      <c r="K24" s="297" t="s">
        <v>54</v>
      </c>
      <c r="L24" s="297"/>
      <c r="M24" s="297"/>
      <c r="N24" s="308"/>
      <c r="O24" s="308"/>
      <c r="P24" s="308"/>
      <c r="Q24" s="309"/>
      <c r="S24" s="61" t="s">
        <v>7</v>
      </c>
      <c r="T24" s="93">
        <v>153</v>
      </c>
      <c r="U24" s="43">
        <f>(U9*$T9+U12*$T12+U19*$T19)/$T24</f>
        <v>3.522875816993464</v>
      </c>
      <c r="V24" s="43">
        <f>(V9*$T9+V12*$T12+V19*$T19)/$T24</f>
        <v>2.522875816993464</v>
      </c>
      <c r="W24" s="53">
        <f>(W9*$T9+W12*$T12+W19*$T19)/$T24</f>
        <v>4.3398692810457513</v>
      </c>
      <c r="X24" s="40">
        <f>(U24+V24+W24)/3</f>
        <v>3.4618736383442261</v>
      </c>
      <c r="Y24" s="322"/>
      <c r="Z24" s="322"/>
      <c r="AA24" s="322"/>
      <c r="AB24" s="322"/>
      <c r="AC24" s="322"/>
      <c r="AD24" s="322"/>
    </row>
    <row r="25" spans="1:30" ht="15" thickTop="1">
      <c r="B25" s="305"/>
      <c r="C25" s="298"/>
      <c r="D25" s="298"/>
      <c r="E25" s="298"/>
      <c r="F25" s="298"/>
      <c r="G25" s="298"/>
      <c r="H25" s="310"/>
      <c r="I25" s="310"/>
      <c r="J25" s="297"/>
      <c r="K25" s="297"/>
      <c r="L25" s="297"/>
      <c r="M25" s="311"/>
      <c r="N25" s="234"/>
      <c r="O25" s="235"/>
      <c r="P25" s="235"/>
      <c r="Q25" s="235"/>
      <c r="S25" s="62" t="s">
        <v>8</v>
      </c>
      <c r="T25" s="93">
        <v>90</v>
      </c>
      <c r="U25" s="154">
        <f>(U10*$T10+U13*$T13+U18*$T18)/$T25</f>
        <v>5.2</v>
      </c>
      <c r="V25" s="154">
        <f t="shared" ref="V25:W25" si="5">(V10*$T10+V13*$T13+V18*$T18)/$T25</f>
        <v>6.6</v>
      </c>
      <c r="W25" s="154">
        <f t="shared" si="5"/>
        <v>5.0666666666666664</v>
      </c>
      <c r="X25" s="149">
        <f>(U25+V25+W25)/3</f>
        <v>5.6222222222222227</v>
      </c>
      <c r="Y25" s="323" t="s">
        <v>81</v>
      </c>
      <c r="Z25" s="322"/>
      <c r="AA25" s="322"/>
      <c r="AB25" s="322"/>
      <c r="AC25" s="322"/>
      <c r="AD25" s="322"/>
    </row>
    <row r="26" spans="1:30">
      <c r="B26" s="305"/>
      <c r="C26" s="312" t="s">
        <v>94</v>
      </c>
      <c r="D26" s="298"/>
      <c r="E26" s="298"/>
      <c r="F26" s="298"/>
      <c r="G26" s="298"/>
      <c r="H26" s="298"/>
      <c r="I26" s="298"/>
      <c r="J26" s="297"/>
      <c r="K26" s="297"/>
      <c r="L26" s="297"/>
      <c r="M26" s="311"/>
      <c r="N26" s="236"/>
      <c r="O26" s="55"/>
      <c r="P26" s="55"/>
      <c r="Q26" s="55"/>
      <c r="S26" s="63" t="s">
        <v>9</v>
      </c>
      <c r="T26" s="93">
        <v>19</v>
      </c>
      <c r="U26" s="149">
        <f>(U11*$T11+U17*$T17)/$T26</f>
        <v>4.1578947368421053</v>
      </c>
      <c r="V26" s="149">
        <f>(V11*$T11+V17*$T17)/$T26</f>
        <v>4.7368421052631575</v>
      </c>
      <c r="W26" s="153">
        <f>(W11*$T11+W17*$T17)/$T26</f>
        <v>5.1578947368421053</v>
      </c>
      <c r="X26" s="149">
        <f>(U26+V26+W26)/3</f>
        <v>4.6842105263157903</v>
      </c>
      <c r="Y26" s="322"/>
      <c r="Z26" s="322"/>
      <c r="AA26" s="322"/>
      <c r="AB26" s="322"/>
      <c r="AC26" s="322"/>
      <c r="AD26" s="322"/>
    </row>
    <row r="27" spans="1:30" ht="15" thickBot="1">
      <c r="B27" s="313"/>
      <c r="C27" s="314"/>
      <c r="D27" s="314"/>
      <c r="E27" s="314"/>
      <c r="F27" s="314"/>
      <c r="G27" s="314"/>
      <c r="H27" s="314"/>
      <c r="I27" s="314"/>
      <c r="J27" s="315"/>
      <c r="K27" s="315"/>
      <c r="L27" s="315"/>
      <c r="M27" s="316"/>
      <c r="N27" s="236"/>
      <c r="O27" s="55"/>
      <c r="P27" s="55"/>
      <c r="Q27" s="55"/>
      <c r="S27" s="94" t="s">
        <v>10</v>
      </c>
      <c r="T27" s="95">
        <v>6</v>
      </c>
      <c r="U27" s="40">
        <f>U16</f>
        <v>5</v>
      </c>
      <c r="V27" s="41">
        <f>V16</f>
        <v>7</v>
      </c>
      <c r="W27" s="42">
        <f>W16</f>
        <v>5</v>
      </c>
      <c r="X27" s="40">
        <f>(U27+V27+W27)/3</f>
        <v>5.666666666666667</v>
      </c>
    </row>
    <row r="28" spans="1:30" ht="15.6" thickTop="1" thickBot="1">
      <c r="S28" s="35" t="s">
        <v>12</v>
      </c>
      <c r="T28" s="89">
        <f>SUM(T23:T27)</f>
        <v>288</v>
      </c>
      <c r="U28" s="36"/>
      <c r="V28" s="36"/>
      <c r="W28" s="36"/>
      <c r="X28" s="36"/>
    </row>
    <row r="30" spans="1:30" ht="15" thickBot="1">
      <c r="A30" s="49"/>
      <c r="B30" s="55" t="s">
        <v>95</v>
      </c>
      <c r="S30" s="55" t="s">
        <v>75</v>
      </c>
    </row>
    <row r="31" spans="1:30" ht="15" thickBot="1">
      <c r="S31" s="35" t="s">
        <v>27</v>
      </c>
      <c r="T31" s="83" t="s">
        <v>90</v>
      </c>
      <c r="U31" s="50" t="s">
        <v>91</v>
      </c>
      <c r="V31" s="51" t="s">
        <v>92</v>
      </c>
      <c r="W31" s="52" t="s">
        <v>93</v>
      </c>
      <c r="X31" s="58" t="s">
        <v>80</v>
      </c>
    </row>
    <row r="32" spans="1:30" ht="15" thickTop="1">
      <c r="B32" s="55"/>
      <c r="C32" s="55"/>
      <c r="D32" s="291"/>
      <c r="E32" s="292"/>
      <c r="F32" s="292"/>
      <c r="G32" s="293"/>
      <c r="H32" s="293"/>
      <c r="I32" s="293"/>
      <c r="J32" s="293"/>
      <c r="K32" s="294"/>
      <c r="L32" s="294"/>
      <c r="M32" s="294"/>
      <c r="N32" s="294"/>
      <c r="O32" s="294"/>
      <c r="P32" s="294"/>
      <c r="Q32" s="295"/>
      <c r="S32" s="85" t="s">
        <v>32</v>
      </c>
      <c r="T32" s="86">
        <v>80</v>
      </c>
      <c r="U32" s="43">
        <v>4</v>
      </c>
      <c r="V32" s="87">
        <v>3</v>
      </c>
      <c r="W32" s="53">
        <v>6</v>
      </c>
      <c r="X32" s="43">
        <f t="shared" ref="X32:X42" si="6">(U32+V32+W32)/3</f>
        <v>4.333333333333333</v>
      </c>
    </row>
    <row r="33" spans="2:24" ht="15" thickBot="1">
      <c r="B33" s="55"/>
      <c r="C33" s="55"/>
      <c r="D33" s="296"/>
      <c r="E33" s="297"/>
      <c r="F33" s="297" t="s">
        <v>30</v>
      </c>
      <c r="G33" s="297"/>
      <c r="H33" s="297"/>
      <c r="I33" s="297"/>
      <c r="J33" s="297"/>
      <c r="K33" s="298"/>
      <c r="L33" s="298" t="s">
        <v>31</v>
      </c>
      <c r="M33" s="298"/>
      <c r="N33" s="298"/>
      <c r="O33" s="298"/>
      <c r="P33" s="298"/>
      <c r="Q33" s="299"/>
      <c r="S33" s="62" t="s">
        <v>33</v>
      </c>
      <c r="T33" s="86">
        <v>42</v>
      </c>
      <c r="U33" s="149">
        <v>5</v>
      </c>
      <c r="V33" s="152">
        <v>6</v>
      </c>
      <c r="W33" s="153">
        <v>6</v>
      </c>
      <c r="X33" s="149">
        <f t="shared" si="6"/>
        <v>5.666666666666667</v>
      </c>
    </row>
    <row r="34" spans="2:24" ht="15" thickTop="1">
      <c r="B34" s="291"/>
      <c r="C34" s="293"/>
      <c r="D34" s="221"/>
      <c r="E34" s="297"/>
      <c r="F34" s="297"/>
      <c r="G34" s="297"/>
      <c r="H34" s="297"/>
      <c r="I34" s="297"/>
      <c r="J34" s="297"/>
      <c r="K34" s="298"/>
      <c r="L34" s="312" t="s">
        <v>96</v>
      </c>
      <c r="M34" s="298"/>
      <c r="N34" s="298"/>
      <c r="O34" s="298"/>
      <c r="P34" s="298"/>
      <c r="Q34" s="299"/>
      <c r="S34" s="63" t="s">
        <v>83</v>
      </c>
      <c r="T34" s="86">
        <v>11</v>
      </c>
      <c r="U34" s="44">
        <v>5</v>
      </c>
      <c r="V34" s="96">
        <v>6</v>
      </c>
      <c r="W34" s="97">
        <v>7</v>
      </c>
      <c r="X34" s="98">
        <f t="shared" si="6"/>
        <v>6</v>
      </c>
    </row>
    <row r="35" spans="2:24">
      <c r="B35" s="296"/>
      <c r="C35" s="297"/>
      <c r="D35" s="297"/>
      <c r="E35" s="221"/>
      <c r="F35" s="297"/>
      <c r="G35" s="297"/>
      <c r="H35" s="297"/>
      <c r="I35" s="297"/>
      <c r="J35" s="297"/>
      <c r="K35" s="298"/>
      <c r="L35" s="312"/>
      <c r="M35" s="298"/>
      <c r="N35" s="298"/>
      <c r="O35" s="298"/>
      <c r="P35" s="298"/>
      <c r="Q35" s="299"/>
      <c r="S35" s="61" t="s">
        <v>36</v>
      </c>
      <c r="T35" s="86">
        <v>45</v>
      </c>
      <c r="U35" s="44">
        <v>3</v>
      </c>
      <c r="V35" s="96">
        <v>3</v>
      </c>
      <c r="W35" s="97">
        <v>5</v>
      </c>
      <c r="X35" s="98">
        <f t="shared" si="6"/>
        <v>3.6666666666666665</v>
      </c>
    </row>
    <row r="36" spans="2:24">
      <c r="B36" s="296"/>
      <c r="C36" s="297"/>
      <c r="D36" s="297"/>
      <c r="E36" s="297"/>
      <c r="F36" s="221"/>
      <c r="G36" s="297"/>
      <c r="H36" s="297"/>
      <c r="I36" s="297"/>
      <c r="J36" s="297"/>
      <c r="K36" s="298"/>
      <c r="L36" s="298"/>
      <c r="M36" s="298"/>
      <c r="N36" s="298"/>
      <c r="O36" s="298"/>
      <c r="P36" s="298"/>
      <c r="Q36" s="299"/>
      <c r="S36" s="62" t="s">
        <v>39</v>
      </c>
      <c r="T36" s="86">
        <v>12</v>
      </c>
      <c r="U36" s="154">
        <v>6</v>
      </c>
      <c r="V36" s="152">
        <v>6</v>
      </c>
      <c r="W36" s="153">
        <v>5</v>
      </c>
      <c r="X36" s="149">
        <f t="shared" si="6"/>
        <v>5.666666666666667</v>
      </c>
    </row>
    <row r="37" spans="2:24">
      <c r="B37" s="296" t="s">
        <v>38</v>
      </c>
      <c r="C37" s="297"/>
      <c r="D37" s="297"/>
      <c r="E37" s="297"/>
      <c r="F37" s="297"/>
      <c r="G37" s="221"/>
      <c r="H37" s="297"/>
      <c r="I37" s="297"/>
      <c r="J37" s="297"/>
      <c r="K37" s="298"/>
      <c r="L37" s="298"/>
      <c r="M37" s="298"/>
      <c r="N37" s="298"/>
      <c r="O37" s="298"/>
      <c r="P37" s="298"/>
      <c r="Q37" s="299"/>
      <c r="S37" s="64" t="s">
        <v>40</v>
      </c>
      <c r="T37" s="86">
        <v>9</v>
      </c>
      <c r="U37" s="44">
        <v>2</v>
      </c>
      <c r="V37" s="96">
        <v>2</v>
      </c>
      <c r="W37" s="97">
        <v>4</v>
      </c>
      <c r="X37" s="98">
        <f t="shared" si="6"/>
        <v>2.6666666666666665</v>
      </c>
    </row>
    <row r="38" spans="2:24">
      <c r="B38" s="296"/>
      <c r="C38" s="297"/>
      <c r="D38" s="297"/>
      <c r="E38" s="297"/>
      <c r="F38" s="297"/>
      <c r="G38" s="297"/>
      <c r="H38" s="221"/>
      <c r="I38" s="297"/>
      <c r="J38" s="297"/>
      <c r="K38" s="297"/>
      <c r="L38" s="297"/>
      <c r="M38" s="297"/>
      <c r="N38" s="297"/>
      <c r="O38" s="297"/>
      <c r="P38" s="297"/>
      <c r="Q38" s="302"/>
      <c r="R38" s="65"/>
      <c r="S38" s="64" t="s">
        <v>42</v>
      </c>
      <c r="T38" s="86">
        <v>11</v>
      </c>
      <c r="U38" s="44">
        <v>2</v>
      </c>
      <c r="V38" s="96">
        <v>1</v>
      </c>
      <c r="W38" s="97">
        <v>3</v>
      </c>
      <c r="X38" s="98">
        <f t="shared" si="6"/>
        <v>2</v>
      </c>
    </row>
    <row r="39" spans="2:24">
      <c r="B39" s="296"/>
      <c r="C39" s="297"/>
      <c r="D39" s="297"/>
      <c r="E39" s="297"/>
      <c r="F39" s="298" t="s">
        <v>44</v>
      </c>
      <c r="G39" s="298"/>
      <c r="H39" s="298"/>
      <c r="I39" s="221"/>
      <c r="J39" s="297"/>
      <c r="K39" s="297"/>
      <c r="L39" s="297"/>
      <c r="M39" s="297"/>
      <c r="N39" s="297"/>
      <c r="O39" s="297"/>
      <c r="P39" s="297"/>
      <c r="Q39" s="302"/>
      <c r="R39" s="65"/>
      <c r="S39" s="66" t="s">
        <v>84</v>
      </c>
      <c r="T39" s="86">
        <v>6</v>
      </c>
      <c r="U39" s="44">
        <v>5</v>
      </c>
      <c r="V39" s="96">
        <v>7</v>
      </c>
      <c r="W39" s="97">
        <v>6</v>
      </c>
      <c r="X39" s="98">
        <f t="shared" si="6"/>
        <v>6</v>
      </c>
    </row>
    <row r="40" spans="2:24">
      <c r="B40" s="296"/>
      <c r="C40" s="297"/>
      <c r="D40" s="297"/>
      <c r="E40" s="297"/>
      <c r="F40" s="312" t="s">
        <v>85</v>
      </c>
      <c r="G40" s="298"/>
      <c r="H40" s="298"/>
      <c r="I40" s="221"/>
      <c r="J40" s="297"/>
      <c r="K40" s="297"/>
      <c r="L40" s="297"/>
      <c r="M40" s="297"/>
      <c r="N40" s="297"/>
      <c r="O40" s="297"/>
      <c r="P40" s="297"/>
      <c r="Q40" s="302"/>
      <c r="R40" s="65"/>
      <c r="S40" s="63" t="s">
        <v>86</v>
      </c>
      <c r="T40" s="86">
        <v>8</v>
      </c>
      <c r="U40" s="44">
        <v>3</v>
      </c>
      <c r="V40" s="96">
        <v>3</v>
      </c>
      <c r="W40" s="97">
        <v>5</v>
      </c>
      <c r="X40" s="98">
        <f t="shared" si="6"/>
        <v>3.6666666666666665</v>
      </c>
    </row>
    <row r="41" spans="2:24">
      <c r="B41" s="296"/>
      <c r="C41" s="297"/>
      <c r="D41" s="297"/>
      <c r="E41" s="297"/>
      <c r="F41" s="312" t="s">
        <v>97</v>
      </c>
      <c r="G41" s="298"/>
      <c r="H41" s="298"/>
      <c r="I41" s="221"/>
      <c r="J41" s="297"/>
      <c r="K41" s="297"/>
      <c r="L41" s="297"/>
      <c r="M41" s="297"/>
      <c r="N41" s="297"/>
      <c r="O41" s="297"/>
      <c r="P41" s="297"/>
      <c r="Q41" s="302"/>
      <c r="R41" s="65"/>
      <c r="S41" s="62" t="s">
        <v>49</v>
      </c>
      <c r="T41" s="86">
        <v>36</v>
      </c>
      <c r="U41" s="149">
        <v>5</v>
      </c>
      <c r="V41" s="152">
        <v>6</v>
      </c>
      <c r="W41" s="153">
        <v>5</v>
      </c>
      <c r="X41" s="149">
        <f t="shared" si="6"/>
        <v>5.333333333333333</v>
      </c>
    </row>
    <row r="42" spans="2:24" ht="15" thickBot="1">
      <c r="B42" s="296"/>
      <c r="C42" s="297"/>
      <c r="D42" s="297"/>
      <c r="E42" s="297"/>
      <c r="F42" s="312" t="s">
        <v>88</v>
      </c>
      <c r="G42" s="298"/>
      <c r="H42" s="298"/>
      <c r="I42" s="221"/>
      <c r="J42" s="217"/>
      <c r="K42" s="217"/>
      <c r="L42" s="217"/>
      <c r="M42" s="297"/>
      <c r="N42" s="297"/>
      <c r="O42" s="297"/>
      <c r="P42" s="297"/>
      <c r="Q42" s="302"/>
      <c r="S42" s="67" t="s">
        <v>51</v>
      </c>
      <c r="T42" s="88">
        <v>28</v>
      </c>
      <c r="U42" s="44">
        <v>3</v>
      </c>
      <c r="V42" s="96">
        <v>3</v>
      </c>
      <c r="W42" s="97">
        <v>4</v>
      </c>
      <c r="X42" s="98">
        <f t="shared" si="6"/>
        <v>3.3333333333333335</v>
      </c>
    </row>
    <row r="43" spans="2:24" ht="15" thickBot="1">
      <c r="B43" s="296"/>
      <c r="C43" s="297"/>
      <c r="D43" s="297"/>
      <c r="E43" s="217"/>
      <c r="F43" s="217"/>
      <c r="G43" s="217"/>
      <c r="H43" s="217"/>
      <c r="I43" s="221"/>
      <c r="J43" s="217"/>
      <c r="K43" s="217"/>
      <c r="L43" s="217"/>
      <c r="M43" s="297"/>
      <c r="N43" s="297"/>
      <c r="O43" s="297"/>
      <c r="P43" s="297"/>
      <c r="Q43" s="302"/>
      <c r="S43" s="35"/>
      <c r="T43" s="89">
        <f>SUM(T32:T42)</f>
        <v>288</v>
      </c>
      <c r="U43" s="36"/>
      <c r="V43" s="37"/>
      <c r="W43" s="38"/>
      <c r="X43" s="39"/>
    </row>
    <row r="44" spans="2:24" ht="15" thickBot="1">
      <c r="B44" s="296"/>
      <c r="C44" s="297"/>
      <c r="D44" s="297"/>
      <c r="E44" s="217"/>
      <c r="F44" s="217"/>
      <c r="G44" s="217"/>
      <c r="H44" s="217"/>
      <c r="I44" s="221"/>
      <c r="J44" s="217"/>
      <c r="K44" s="217"/>
      <c r="L44" s="217"/>
      <c r="M44" s="297"/>
      <c r="N44" s="297"/>
      <c r="O44" s="297"/>
      <c r="P44" s="297"/>
      <c r="Q44" s="302"/>
      <c r="T44" s="65"/>
      <c r="U44" s="99"/>
      <c r="V44" s="99"/>
      <c r="W44" s="99"/>
      <c r="X44" s="99"/>
    </row>
    <row r="45" spans="2:24" ht="15" thickBot="1">
      <c r="B45" s="296"/>
      <c r="C45" s="303"/>
      <c r="D45" s="297"/>
      <c r="E45" s="217"/>
      <c r="F45" s="217"/>
      <c r="G45" s="218"/>
      <c r="H45" s="219"/>
      <c r="I45" s="219"/>
      <c r="J45" s="220"/>
      <c r="K45" s="221"/>
      <c r="L45" s="221"/>
      <c r="M45" s="221"/>
      <c r="N45" s="221"/>
      <c r="O45" s="221"/>
      <c r="P45" s="221"/>
      <c r="Q45" s="304"/>
      <c r="S45" s="35" t="s">
        <v>89</v>
      </c>
      <c r="T45" s="90" t="s">
        <v>90</v>
      </c>
      <c r="U45" s="50" t="s">
        <v>91</v>
      </c>
      <c r="V45" s="51" t="s">
        <v>92</v>
      </c>
      <c r="W45" s="52" t="s">
        <v>93</v>
      </c>
      <c r="X45" s="58" t="s">
        <v>80</v>
      </c>
    </row>
    <row r="46" spans="2:24">
      <c r="B46" s="305"/>
      <c r="C46" s="298"/>
      <c r="D46" s="298"/>
      <c r="E46" s="298"/>
      <c r="F46" s="298"/>
      <c r="G46" s="306"/>
      <c r="H46" s="219"/>
      <c r="I46" s="219"/>
      <c r="J46" s="307"/>
      <c r="K46" s="297"/>
      <c r="L46" s="297"/>
      <c r="M46" s="297"/>
      <c r="N46" s="297"/>
      <c r="O46" s="297"/>
      <c r="P46" s="297"/>
      <c r="Q46" s="302"/>
      <c r="S46" s="91" t="s">
        <v>6</v>
      </c>
      <c r="T46" s="92">
        <v>20</v>
      </c>
      <c r="U46" s="151">
        <f>(U37*$T37+U38*$T38)/$T46</f>
        <v>2</v>
      </c>
      <c r="V46" s="151">
        <f>(V37*$T37+V38*$T38)/$T46</f>
        <v>1.45</v>
      </c>
      <c r="W46" s="325">
        <f>(W37*$T37+W38*$T38)/$T46</f>
        <v>3.45</v>
      </c>
      <c r="X46" s="151">
        <f>(U46+V46+W46)/3</f>
        <v>2.3000000000000003</v>
      </c>
    </row>
    <row r="47" spans="2:24" ht="15" thickBot="1">
      <c r="B47" s="305"/>
      <c r="C47" s="298" t="s">
        <v>53</v>
      </c>
      <c r="D47" s="298"/>
      <c r="E47" s="298"/>
      <c r="F47" s="298"/>
      <c r="G47" s="306"/>
      <c r="H47" s="219"/>
      <c r="I47" s="219"/>
      <c r="J47" s="307"/>
      <c r="K47" s="297" t="s">
        <v>54</v>
      </c>
      <c r="L47" s="297"/>
      <c r="M47" s="297"/>
      <c r="N47" s="308"/>
      <c r="O47" s="308"/>
      <c r="P47" s="308"/>
      <c r="Q47" s="309"/>
      <c r="S47" s="61" t="s">
        <v>7</v>
      </c>
      <c r="T47" s="93">
        <v>153</v>
      </c>
      <c r="U47" s="98">
        <f>(U32*$T32+U35*$T35+U42*$T42)/$T47</f>
        <v>3.522875816993464</v>
      </c>
      <c r="V47" s="98">
        <f>(V32*$T32+V35*$T35+V42*$T42)/$T47</f>
        <v>3</v>
      </c>
      <c r="W47" s="100">
        <f>(W32*$T32+W35*$T35+W42*$T42)/$T47</f>
        <v>5.3398692810457513</v>
      </c>
      <c r="X47" s="44">
        <f>(U47+V47+W47)/3</f>
        <v>3.9542483660130721</v>
      </c>
    </row>
    <row r="48" spans="2:24" ht="15" thickTop="1">
      <c r="B48" s="305"/>
      <c r="C48" s="298"/>
      <c r="D48" s="298"/>
      <c r="E48" s="298"/>
      <c r="F48" s="298"/>
      <c r="G48" s="298"/>
      <c r="H48" s="310"/>
      <c r="I48" s="310"/>
      <c r="J48" s="297"/>
      <c r="K48" s="297"/>
      <c r="L48" s="297"/>
      <c r="M48" s="311"/>
      <c r="N48" s="234"/>
      <c r="O48" s="235"/>
      <c r="P48" s="235"/>
      <c r="Q48" s="235"/>
      <c r="S48" s="62" t="s">
        <v>8</v>
      </c>
      <c r="T48" s="93">
        <v>90</v>
      </c>
      <c r="U48" s="154">
        <f>(U33*$T33+U36*$T36+U41*$T41)/$T48</f>
        <v>5.1333333333333337</v>
      </c>
      <c r="V48" s="154">
        <f>(V33*$T33+V36*$T36+V41*$T41)/$T48</f>
        <v>6</v>
      </c>
      <c r="W48" s="155">
        <f>(W33*$T33+W36*$T36+W41*$T41)/$T48</f>
        <v>5.4666666666666668</v>
      </c>
      <c r="X48" s="149">
        <f>(U48+V48+W48)/3</f>
        <v>5.5333333333333341</v>
      </c>
    </row>
    <row r="49" spans="1:26">
      <c r="B49" s="305"/>
      <c r="C49" s="312" t="s">
        <v>98</v>
      </c>
      <c r="D49" s="298"/>
      <c r="E49" s="298"/>
      <c r="F49" s="298"/>
      <c r="G49" s="298"/>
      <c r="H49" s="298"/>
      <c r="I49" s="298"/>
      <c r="J49" s="297"/>
      <c r="K49" s="297"/>
      <c r="L49" s="297"/>
      <c r="M49" s="311"/>
      <c r="N49" s="236"/>
      <c r="O49" s="55"/>
      <c r="P49" s="55"/>
      <c r="Q49" s="55"/>
      <c r="S49" s="63" t="s">
        <v>9</v>
      </c>
      <c r="T49" s="93">
        <v>19</v>
      </c>
      <c r="U49" s="149">
        <f>(U34*$T34+U40*$T40)/$T49</f>
        <v>4.1578947368421053</v>
      </c>
      <c r="V49" s="149">
        <f>(V34*$T34+V40*$T40)/$T49</f>
        <v>4.7368421052631575</v>
      </c>
      <c r="W49" s="153">
        <f>(W34*$T34+W40*$T40)/$T49</f>
        <v>6.1578947368421053</v>
      </c>
      <c r="X49" s="149">
        <f>(U49+V49+W49)/3</f>
        <v>5.0175438596491233</v>
      </c>
    </row>
    <row r="50" spans="1:26" ht="15" thickBot="1">
      <c r="B50" s="313"/>
      <c r="C50" s="314"/>
      <c r="D50" s="314"/>
      <c r="E50" s="314"/>
      <c r="F50" s="314"/>
      <c r="G50" s="314"/>
      <c r="H50" s="314"/>
      <c r="I50" s="314"/>
      <c r="J50" s="315"/>
      <c r="K50" s="315"/>
      <c r="L50" s="315"/>
      <c r="M50" s="316"/>
      <c r="N50" s="236"/>
      <c r="O50" s="55"/>
      <c r="P50" s="55"/>
      <c r="Q50" s="55"/>
      <c r="S50" s="94" t="s">
        <v>10</v>
      </c>
      <c r="T50" s="95">
        <v>6</v>
      </c>
      <c r="U50" s="44">
        <f>U39</f>
        <v>5</v>
      </c>
      <c r="V50" s="96">
        <f>V39</f>
        <v>7</v>
      </c>
      <c r="W50" s="97">
        <f>W39</f>
        <v>6</v>
      </c>
      <c r="X50" s="44">
        <f>(U50+V50+W50)/3</f>
        <v>6</v>
      </c>
    </row>
    <row r="51" spans="1:26" ht="15.6" thickTop="1" thickBot="1">
      <c r="S51" s="35" t="s">
        <v>12</v>
      </c>
      <c r="T51" s="89">
        <f>SUM(T46:T50)</f>
        <v>288</v>
      </c>
      <c r="U51" s="36"/>
      <c r="V51" s="36"/>
      <c r="W51" s="36"/>
      <c r="X51" s="36"/>
    </row>
    <row r="54" spans="1:26">
      <c r="A54" s="176" t="s">
        <v>99</v>
      </c>
    </row>
    <row r="55" spans="1:26">
      <c r="B55" s="174" t="s">
        <v>57</v>
      </c>
    </row>
    <row r="56" spans="1:26">
      <c r="B56" s="175" t="s">
        <v>100</v>
      </c>
    </row>
    <row r="57" spans="1:26">
      <c r="B57" s="175" t="s">
        <v>101</v>
      </c>
    </row>
    <row r="58" spans="1:26">
      <c r="B58" s="175" t="s">
        <v>102</v>
      </c>
    </row>
    <row r="59" spans="1:26">
      <c r="B59" s="175" t="s">
        <v>103</v>
      </c>
    </row>
    <row r="60" spans="1:26">
      <c r="B60" s="175" t="s">
        <v>104</v>
      </c>
    </row>
    <row r="62" spans="1:26">
      <c r="S62" s="55" t="s">
        <v>105</v>
      </c>
    </row>
    <row r="63" spans="1:26" ht="101.1">
      <c r="S63" s="54"/>
      <c r="T63" s="73" t="s">
        <v>90</v>
      </c>
      <c r="U63" s="336" t="s">
        <v>6</v>
      </c>
      <c r="V63" s="120" t="s">
        <v>7</v>
      </c>
      <c r="W63" s="121" t="s">
        <v>8</v>
      </c>
      <c r="X63" s="122" t="s">
        <v>9</v>
      </c>
      <c r="Y63" s="337" t="s">
        <v>10</v>
      </c>
      <c r="Z63" s="70" t="s">
        <v>11</v>
      </c>
    </row>
    <row r="64" spans="1:26">
      <c r="S64" s="54" t="s">
        <v>106</v>
      </c>
      <c r="T64" s="101">
        <f>T28</f>
        <v>288</v>
      </c>
      <c r="U64" s="171">
        <f>X23</f>
        <v>2.3000000000000003</v>
      </c>
      <c r="V64" s="171">
        <f>X24</f>
        <v>3.4618736383442261</v>
      </c>
      <c r="W64" s="171">
        <f>X25</f>
        <v>5.6222222222222227</v>
      </c>
      <c r="X64" s="171">
        <f>X26</f>
        <v>4.6842105263157903</v>
      </c>
      <c r="Y64" s="171">
        <f>X27</f>
        <v>5.666666666666667</v>
      </c>
    </row>
    <row r="65" spans="19:25">
      <c r="S65" s="54" t="s">
        <v>107</v>
      </c>
      <c r="T65" s="54"/>
      <c r="U65" s="171"/>
      <c r="V65" s="171">
        <f>V67-V64</f>
        <v>0.49237472766884594</v>
      </c>
      <c r="W65" s="171"/>
      <c r="X65" s="171">
        <f>X67-X64</f>
        <v>0.33333333333333304</v>
      </c>
      <c r="Y65" s="171">
        <f>Y67-Y64</f>
        <v>0.33333333333333304</v>
      </c>
    </row>
    <row r="66" spans="19:25">
      <c r="S66" s="54" t="s">
        <v>108</v>
      </c>
      <c r="T66" s="54"/>
      <c r="U66" s="171"/>
      <c r="V66" s="171"/>
      <c r="W66" s="171">
        <f>W64-W67</f>
        <v>8.8888888888888573E-2</v>
      </c>
      <c r="X66" s="171"/>
      <c r="Y66" s="171"/>
    </row>
    <row r="67" spans="19:25">
      <c r="S67" s="54" t="s">
        <v>109</v>
      </c>
      <c r="T67" s="101">
        <f>T51</f>
        <v>288</v>
      </c>
      <c r="U67" s="171">
        <f>X46</f>
        <v>2.3000000000000003</v>
      </c>
      <c r="V67" s="171">
        <f>X47</f>
        <v>3.9542483660130721</v>
      </c>
      <c r="W67" s="171">
        <f>X48</f>
        <v>5.5333333333333341</v>
      </c>
      <c r="X67" s="171">
        <f>X49</f>
        <v>5.0175438596491233</v>
      </c>
      <c r="Y67" s="171">
        <f>X50</f>
        <v>6</v>
      </c>
    </row>
  </sheetData>
  <conditionalFormatting sqref="U10:W10 U13:X13 U18:X18 U64:Y66">
    <cfRule type="expression" dxfId="8" priority="4">
      <formula>Answers=1</formula>
    </cfRule>
  </conditionalFormatting>
  <conditionalFormatting sqref="U67:Y67">
    <cfRule type="expression" dxfId="7" priority="2">
      <formula>Answers=1</formula>
    </cfRule>
  </conditionalFormatting>
  <conditionalFormatting sqref="U25:W25">
    <cfRule type="expression" dxfId="6" priority="1">
      <formula>Answers=1</formula>
    </cfRule>
  </conditionalFormatting>
  <pageMargins left="0.70866141732283472" right="0.70866141732283472" top="0.74803149606299213" bottom="0.74803149606299213" header="0.31496062992125984" footer="0.31496062992125984"/>
  <pageSetup paperSize="9" scale="72" fitToHeight="0" orientation="landscape" r:id="rId1"/>
  <headerFooter>
    <oddFooter>&amp;L&amp;P&amp;CESCAP&amp;RSEEA Training  2016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39B51-E927-44E0-AC53-13A3936FEE20}">
  <dimension ref="A2:X52"/>
  <sheetViews>
    <sheetView topLeftCell="B25" workbookViewId="0">
      <selection activeCell="X32" sqref="X32"/>
    </sheetView>
  </sheetViews>
  <sheetFormatPr defaultRowHeight="14.45"/>
  <cols>
    <col min="1" max="1" width="20.85546875" customWidth="1"/>
    <col min="5" max="5" width="5.42578125" customWidth="1"/>
    <col min="6" max="6" width="5.28515625" customWidth="1"/>
    <col min="7" max="8" width="5.5703125" customWidth="1"/>
    <col min="9" max="10" width="5.28515625" customWidth="1"/>
    <col min="11" max="11" width="4.7109375" customWidth="1"/>
    <col min="12" max="12" width="5.5703125" customWidth="1"/>
    <col min="13" max="13" width="4.7109375" customWidth="1"/>
    <col min="14" max="14" width="5.7109375" customWidth="1"/>
    <col min="15" max="15" width="5" customWidth="1"/>
    <col min="16" max="16" width="5.7109375" customWidth="1"/>
    <col min="17" max="17" width="5.42578125" customWidth="1"/>
    <col min="18" max="18" width="5.28515625" customWidth="1"/>
    <col min="19" max="19" width="6.28515625" customWidth="1"/>
    <col min="20" max="20" width="5.7109375" customWidth="1"/>
  </cols>
  <sheetData>
    <row r="2" spans="1:23" ht="72.599999999999994">
      <c r="A2" s="59" t="s">
        <v>110</v>
      </c>
      <c r="B2" s="144" t="s">
        <v>111</v>
      </c>
      <c r="C2" s="145" t="s">
        <v>112</v>
      </c>
      <c r="E2" s="34" t="s">
        <v>113</v>
      </c>
    </row>
    <row r="3" spans="1:23" ht="15.6">
      <c r="A3" s="54" t="s">
        <v>114</v>
      </c>
      <c r="B3" s="54">
        <v>5</v>
      </c>
      <c r="C3" s="54">
        <v>1</v>
      </c>
      <c r="E3" s="2"/>
      <c r="F3" s="2"/>
      <c r="G3" s="125">
        <f>$B$4</f>
        <v>40</v>
      </c>
      <c r="H3" s="125">
        <f t="shared" ref="H3:M8" si="0">$B$4</f>
        <v>40</v>
      </c>
      <c r="I3" s="125">
        <f t="shared" si="0"/>
        <v>40</v>
      </c>
      <c r="J3" s="125">
        <f t="shared" si="0"/>
        <v>40</v>
      </c>
      <c r="K3" s="125">
        <f t="shared" si="0"/>
        <v>40</v>
      </c>
      <c r="L3" s="125">
        <f t="shared" si="0"/>
        <v>40</v>
      </c>
      <c r="M3" s="125">
        <f t="shared" si="0"/>
        <v>40</v>
      </c>
      <c r="N3" s="126">
        <f>$B$6</f>
        <v>200</v>
      </c>
      <c r="O3" s="126">
        <f t="shared" ref="O3:T8" si="1">$B$6</f>
        <v>200</v>
      </c>
      <c r="P3" s="126">
        <f t="shared" si="1"/>
        <v>200</v>
      </c>
      <c r="Q3" s="126">
        <f t="shared" si="1"/>
        <v>200</v>
      </c>
      <c r="R3" s="126">
        <f t="shared" si="1"/>
        <v>200</v>
      </c>
      <c r="S3" s="126">
        <f t="shared" si="1"/>
        <v>200</v>
      </c>
      <c r="T3" s="126">
        <f t="shared" si="1"/>
        <v>200</v>
      </c>
      <c r="W3" s="137">
        <f>SUM(N3:T8)</f>
        <v>8400</v>
      </c>
    </row>
    <row r="4" spans="1:23" ht="15.6">
      <c r="A4" s="54" t="s">
        <v>115</v>
      </c>
      <c r="B4" s="54">
        <v>40</v>
      </c>
      <c r="C4" s="54">
        <v>4</v>
      </c>
      <c r="E4" s="2"/>
      <c r="F4" s="2"/>
      <c r="G4" s="125">
        <f>$B$4</f>
        <v>40</v>
      </c>
      <c r="H4" s="125">
        <f t="shared" si="0"/>
        <v>40</v>
      </c>
      <c r="I4" s="125">
        <f t="shared" si="0"/>
        <v>40</v>
      </c>
      <c r="J4" s="125">
        <f t="shared" si="0"/>
        <v>40</v>
      </c>
      <c r="K4" s="125">
        <f t="shared" si="0"/>
        <v>40</v>
      </c>
      <c r="L4" s="125">
        <f t="shared" si="0"/>
        <v>40</v>
      </c>
      <c r="M4" s="125">
        <f t="shared" si="0"/>
        <v>40</v>
      </c>
      <c r="N4" s="126">
        <f t="shared" ref="N4:N8" si="2">$B$6</f>
        <v>200</v>
      </c>
      <c r="O4" s="126">
        <f t="shared" si="1"/>
        <v>200</v>
      </c>
      <c r="P4" s="126">
        <f t="shared" si="1"/>
        <v>200</v>
      </c>
      <c r="Q4" s="126">
        <f t="shared" si="1"/>
        <v>200</v>
      </c>
      <c r="R4" s="126">
        <f t="shared" si="1"/>
        <v>200</v>
      </c>
      <c r="S4" s="126">
        <f t="shared" si="1"/>
        <v>200</v>
      </c>
      <c r="T4" s="126">
        <f t="shared" si="1"/>
        <v>200</v>
      </c>
      <c r="W4" s="137">
        <f>SUM(I10:K13)</f>
        <v>2400</v>
      </c>
    </row>
    <row r="5" spans="1:23" ht="15.6">
      <c r="A5" s="54" t="s">
        <v>116</v>
      </c>
      <c r="B5" s="54">
        <v>10</v>
      </c>
      <c r="C5" s="54">
        <v>2</v>
      </c>
      <c r="E5" s="125">
        <f>$B$4</f>
        <v>40</v>
      </c>
      <c r="F5" s="125">
        <f t="shared" ref="F5" si="3">$B$4</f>
        <v>40</v>
      </c>
      <c r="G5" s="127"/>
      <c r="H5" s="125">
        <f t="shared" si="0"/>
        <v>40</v>
      </c>
      <c r="I5" s="125">
        <f t="shared" si="0"/>
        <v>40</v>
      </c>
      <c r="J5" s="125">
        <f t="shared" si="0"/>
        <v>40</v>
      </c>
      <c r="K5" s="125">
        <f t="shared" si="0"/>
        <v>40</v>
      </c>
      <c r="L5" s="125">
        <f t="shared" si="0"/>
        <v>40</v>
      </c>
      <c r="M5" s="125">
        <f t="shared" si="0"/>
        <v>40</v>
      </c>
      <c r="N5" s="126">
        <f t="shared" si="2"/>
        <v>200</v>
      </c>
      <c r="O5" s="126">
        <f t="shared" si="1"/>
        <v>200</v>
      </c>
      <c r="P5" s="126">
        <f t="shared" si="1"/>
        <v>200</v>
      </c>
      <c r="Q5" s="126">
        <f t="shared" si="1"/>
        <v>200</v>
      </c>
      <c r="R5" s="126">
        <f t="shared" si="1"/>
        <v>200</v>
      </c>
      <c r="S5" s="126">
        <f t="shared" si="1"/>
        <v>200</v>
      </c>
      <c r="T5" s="126">
        <f t="shared" si="1"/>
        <v>200</v>
      </c>
      <c r="W5" s="137">
        <f>SUM(E17:J21)+SUM(K19:L21)</f>
        <v>7200</v>
      </c>
    </row>
    <row r="6" spans="1:23" ht="15.6">
      <c r="A6" s="54" t="s">
        <v>117</v>
      </c>
      <c r="B6" s="54">
        <v>200</v>
      </c>
      <c r="C6" s="54">
        <v>15</v>
      </c>
      <c r="E6" s="125">
        <f t="shared" ref="E6:J16" si="4">$B$4</f>
        <v>40</v>
      </c>
      <c r="F6" s="125">
        <f t="shared" si="4"/>
        <v>40</v>
      </c>
      <c r="G6" s="125">
        <f t="shared" si="4"/>
        <v>40</v>
      </c>
      <c r="H6" s="127"/>
      <c r="I6" s="125">
        <f t="shared" si="0"/>
        <v>40</v>
      </c>
      <c r="J6" s="125">
        <f t="shared" si="0"/>
        <v>40</v>
      </c>
      <c r="K6" s="125">
        <f t="shared" si="0"/>
        <v>40</v>
      </c>
      <c r="L6" s="125">
        <f t="shared" si="0"/>
        <v>40</v>
      </c>
      <c r="M6" s="125">
        <f t="shared" si="0"/>
        <v>40</v>
      </c>
      <c r="N6" s="126">
        <f t="shared" si="2"/>
        <v>200</v>
      </c>
      <c r="O6" s="126">
        <f t="shared" si="1"/>
        <v>200</v>
      </c>
      <c r="P6" s="126">
        <f t="shared" si="1"/>
        <v>200</v>
      </c>
      <c r="Q6" s="126">
        <f t="shared" si="1"/>
        <v>200</v>
      </c>
      <c r="R6" s="126">
        <f t="shared" si="1"/>
        <v>200</v>
      </c>
      <c r="S6" s="126">
        <f t="shared" si="1"/>
        <v>200</v>
      </c>
      <c r="T6" s="126">
        <f t="shared" si="1"/>
        <v>200</v>
      </c>
      <c r="W6" s="137">
        <f>SUM(W3:W5)</f>
        <v>18000</v>
      </c>
    </row>
    <row r="7" spans="1:23" ht="15.6">
      <c r="A7" s="54" t="s">
        <v>118</v>
      </c>
      <c r="B7" s="54">
        <v>800</v>
      </c>
      <c r="C7" s="54">
        <v>100</v>
      </c>
      <c r="E7" s="125">
        <f t="shared" si="4"/>
        <v>40</v>
      </c>
      <c r="F7" s="125">
        <f t="shared" si="4"/>
        <v>40</v>
      </c>
      <c r="G7" s="125">
        <f t="shared" si="4"/>
        <v>40</v>
      </c>
      <c r="H7" s="125">
        <f t="shared" si="4"/>
        <v>40</v>
      </c>
      <c r="I7" s="128"/>
      <c r="J7" s="125">
        <f t="shared" si="0"/>
        <v>40</v>
      </c>
      <c r="K7" s="125">
        <f t="shared" si="0"/>
        <v>40</v>
      </c>
      <c r="L7" s="125">
        <f t="shared" si="0"/>
        <v>40</v>
      </c>
      <c r="M7" s="125">
        <f t="shared" si="0"/>
        <v>40</v>
      </c>
      <c r="N7" s="126">
        <f t="shared" si="2"/>
        <v>200</v>
      </c>
      <c r="O7" s="126">
        <f t="shared" si="1"/>
        <v>200</v>
      </c>
      <c r="P7" s="126">
        <f t="shared" si="1"/>
        <v>200</v>
      </c>
      <c r="Q7" s="126">
        <f t="shared" si="1"/>
        <v>200</v>
      </c>
      <c r="R7" s="126">
        <f t="shared" si="1"/>
        <v>200</v>
      </c>
      <c r="S7" s="126">
        <f t="shared" si="1"/>
        <v>200</v>
      </c>
      <c r="T7" s="126">
        <f t="shared" si="1"/>
        <v>200</v>
      </c>
    </row>
    <row r="8" spans="1:23" ht="15.6">
      <c r="A8" s="54" t="s">
        <v>119</v>
      </c>
      <c r="B8" s="54">
        <v>80</v>
      </c>
      <c r="C8" s="54">
        <v>5</v>
      </c>
      <c r="E8" s="125">
        <f t="shared" si="4"/>
        <v>40</v>
      </c>
      <c r="F8" s="125">
        <f t="shared" si="4"/>
        <v>40</v>
      </c>
      <c r="G8" s="125">
        <f t="shared" si="4"/>
        <v>40</v>
      </c>
      <c r="H8" s="125">
        <f t="shared" si="4"/>
        <v>40</v>
      </c>
      <c r="I8" s="125">
        <f t="shared" si="4"/>
        <v>40</v>
      </c>
      <c r="J8" s="128"/>
      <c r="K8" s="125">
        <f t="shared" si="0"/>
        <v>40</v>
      </c>
      <c r="L8" s="125">
        <f t="shared" si="0"/>
        <v>40</v>
      </c>
      <c r="M8" s="125">
        <f t="shared" si="0"/>
        <v>40</v>
      </c>
      <c r="N8" s="126">
        <f t="shared" si="2"/>
        <v>200</v>
      </c>
      <c r="O8" s="126">
        <f t="shared" si="1"/>
        <v>200</v>
      </c>
      <c r="P8" s="126">
        <f t="shared" si="1"/>
        <v>200</v>
      </c>
      <c r="Q8" s="126">
        <f t="shared" si="1"/>
        <v>200</v>
      </c>
      <c r="R8" s="126">
        <f t="shared" si="1"/>
        <v>200</v>
      </c>
      <c r="S8" s="126">
        <f t="shared" si="1"/>
        <v>200</v>
      </c>
      <c r="T8" s="126">
        <f t="shared" si="1"/>
        <v>200</v>
      </c>
    </row>
    <row r="9" spans="1:23" ht="15.6">
      <c r="A9" s="54" t="s">
        <v>120</v>
      </c>
      <c r="B9" s="54">
        <v>300</v>
      </c>
      <c r="C9" s="54">
        <v>24</v>
      </c>
      <c r="E9" s="125">
        <f t="shared" si="4"/>
        <v>40</v>
      </c>
      <c r="F9" s="125">
        <f t="shared" si="4"/>
        <v>40</v>
      </c>
      <c r="G9" s="125">
        <f t="shared" si="4"/>
        <v>40</v>
      </c>
      <c r="H9" s="125">
        <f t="shared" si="4"/>
        <v>40</v>
      </c>
      <c r="I9" s="125">
        <f t="shared" si="4"/>
        <v>40</v>
      </c>
      <c r="J9" s="125">
        <f t="shared" si="4"/>
        <v>40</v>
      </c>
      <c r="K9" s="128"/>
      <c r="L9" s="125">
        <f t="shared" ref="L9:O12" si="5">$B$4</f>
        <v>40</v>
      </c>
      <c r="M9" s="125">
        <f t="shared" si="5"/>
        <v>40</v>
      </c>
      <c r="N9" s="125">
        <f t="shared" si="5"/>
        <v>40</v>
      </c>
      <c r="O9" s="125">
        <f t="shared" si="5"/>
        <v>40</v>
      </c>
      <c r="P9" s="125">
        <f t="shared" ref="P9:S21" si="6">$B$4</f>
        <v>40</v>
      </c>
      <c r="Q9" s="125">
        <f t="shared" si="6"/>
        <v>40</v>
      </c>
      <c r="R9" s="125">
        <f t="shared" si="6"/>
        <v>40</v>
      </c>
      <c r="S9" s="125">
        <f t="shared" si="6"/>
        <v>40</v>
      </c>
      <c r="T9" s="125">
        <f>$B$4</f>
        <v>40</v>
      </c>
    </row>
    <row r="10" spans="1:23" ht="15.6">
      <c r="A10" s="54" t="s">
        <v>121</v>
      </c>
      <c r="B10" s="54">
        <v>8</v>
      </c>
      <c r="C10" s="54">
        <v>1</v>
      </c>
      <c r="E10" s="125">
        <f t="shared" si="4"/>
        <v>40</v>
      </c>
      <c r="F10" s="125">
        <f t="shared" si="4"/>
        <v>40</v>
      </c>
      <c r="G10" s="125">
        <f t="shared" si="4"/>
        <v>40</v>
      </c>
      <c r="H10" s="125">
        <f t="shared" si="4"/>
        <v>40</v>
      </c>
      <c r="I10" s="126">
        <f>$B$6</f>
        <v>200</v>
      </c>
      <c r="J10" s="126">
        <f t="shared" ref="J10:K13" si="7">$B$6</f>
        <v>200</v>
      </c>
      <c r="K10" s="126">
        <f t="shared" si="7"/>
        <v>200</v>
      </c>
      <c r="L10" s="128"/>
      <c r="M10" s="125">
        <f t="shared" si="5"/>
        <v>40</v>
      </c>
      <c r="N10" s="125">
        <f t="shared" si="5"/>
        <v>40</v>
      </c>
      <c r="O10" s="125">
        <f t="shared" si="5"/>
        <v>40</v>
      </c>
      <c r="P10" s="125">
        <f t="shared" si="6"/>
        <v>40</v>
      </c>
      <c r="Q10" s="125">
        <f t="shared" si="6"/>
        <v>40</v>
      </c>
      <c r="R10" s="125">
        <f t="shared" si="6"/>
        <v>40</v>
      </c>
      <c r="S10" s="125">
        <f t="shared" si="6"/>
        <v>40</v>
      </c>
      <c r="T10" s="125">
        <f t="shared" ref="T10:T18" si="8">$B$4</f>
        <v>40</v>
      </c>
    </row>
    <row r="11" spans="1:23" ht="15.6">
      <c r="A11" s="54" t="s">
        <v>122</v>
      </c>
      <c r="B11" s="54">
        <v>0</v>
      </c>
      <c r="C11" s="54">
        <v>0</v>
      </c>
      <c r="E11" s="125">
        <f t="shared" si="4"/>
        <v>40</v>
      </c>
      <c r="F11" s="125">
        <f t="shared" si="4"/>
        <v>40</v>
      </c>
      <c r="G11" s="125">
        <f t="shared" si="4"/>
        <v>40</v>
      </c>
      <c r="H11" s="125">
        <f t="shared" si="4"/>
        <v>40</v>
      </c>
      <c r="I11" s="126">
        <f t="shared" ref="I11:I13" si="9">$B$6</f>
        <v>200</v>
      </c>
      <c r="J11" s="126">
        <f t="shared" si="7"/>
        <v>200</v>
      </c>
      <c r="K11" s="126">
        <f t="shared" si="7"/>
        <v>200</v>
      </c>
      <c r="L11" s="128"/>
      <c r="M11" s="125">
        <f t="shared" si="5"/>
        <v>40</v>
      </c>
      <c r="N11" s="125">
        <f t="shared" si="5"/>
        <v>40</v>
      </c>
      <c r="O11" s="125">
        <f t="shared" si="5"/>
        <v>40</v>
      </c>
      <c r="P11" s="125">
        <f t="shared" si="6"/>
        <v>40</v>
      </c>
      <c r="Q11" s="125">
        <f t="shared" si="6"/>
        <v>40</v>
      </c>
      <c r="R11" s="125">
        <f t="shared" si="6"/>
        <v>40</v>
      </c>
      <c r="S11" s="125">
        <f t="shared" si="6"/>
        <v>40</v>
      </c>
      <c r="T11" s="125">
        <f t="shared" si="8"/>
        <v>40</v>
      </c>
    </row>
    <row r="12" spans="1:23" ht="15.6">
      <c r="A12" s="54" t="s">
        <v>123</v>
      </c>
      <c r="B12" s="54">
        <v>0</v>
      </c>
      <c r="C12" s="54">
        <v>0</v>
      </c>
      <c r="E12" s="125">
        <f t="shared" si="4"/>
        <v>40</v>
      </c>
      <c r="F12" s="125">
        <f t="shared" si="4"/>
        <v>40</v>
      </c>
      <c r="G12" s="125">
        <f t="shared" si="4"/>
        <v>40</v>
      </c>
      <c r="H12" s="125">
        <f t="shared" si="4"/>
        <v>40</v>
      </c>
      <c r="I12" s="126">
        <f t="shared" si="9"/>
        <v>200</v>
      </c>
      <c r="J12" s="126">
        <f t="shared" si="7"/>
        <v>200</v>
      </c>
      <c r="K12" s="126">
        <f t="shared" si="7"/>
        <v>200</v>
      </c>
      <c r="L12" s="128"/>
      <c r="M12" s="125">
        <f t="shared" si="5"/>
        <v>40</v>
      </c>
      <c r="N12" s="125">
        <f t="shared" si="5"/>
        <v>40</v>
      </c>
      <c r="O12" s="125">
        <f t="shared" si="5"/>
        <v>40</v>
      </c>
      <c r="P12" s="125">
        <f t="shared" si="6"/>
        <v>40</v>
      </c>
      <c r="Q12" s="125">
        <f t="shared" si="6"/>
        <v>40</v>
      </c>
      <c r="R12" s="125">
        <f t="shared" si="6"/>
        <v>40</v>
      </c>
      <c r="S12" s="125">
        <f t="shared" si="6"/>
        <v>40</v>
      </c>
      <c r="T12" s="125">
        <f t="shared" si="8"/>
        <v>40</v>
      </c>
    </row>
    <row r="13" spans="1:23" ht="15.6">
      <c r="E13" s="125">
        <f t="shared" si="4"/>
        <v>40</v>
      </c>
      <c r="F13" s="125">
        <f t="shared" si="4"/>
        <v>40</v>
      </c>
      <c r="G13" s="125">
        <f t="shared" si="4"/>
        <v>40</v>
      </c>
      <c r="H13" s="125">
        <f t="shared" si="4"/>
        <v>40</v>
      </c>
      <c r="I13" s="126">
        <f t="shared" si="9"/>
        <v>200</v>
      </c>
      <c r="J13" s="126">
        <f t="shared" si="7"/>
        <v>200</v>
      </c>
      <c r="K13" s="126">
        <f t="shared" si="7"/>
        <v>200</v>
      </c>
      <c r="L13" s="128"/>
      <c r="M13" s="129">
        <f>$B$3</f>
        <v>5</v>
      </c>
      <c r="N13" s="129">
        <f t="shared" ref="N13:O13" si="10">$B$3</f>
        <v>5</v>
      </c>
      <c r="O13" s="129">
        <f t="shared" si="10"/>
        <v>5</v>
      </c>
      <c r="P13" s="125">
        <f t="shared" si="6"/>
        <v>40</v>
      </c>
      <c r="Q13" s="125">
        <f t="shared" si="6"/>
        <v>40</v>
      </c>
      <c r="R13" s="125">
        <f t="shared" si="6"/>
        <v>40</v>
      </c>
      <c r="S13" s="125">
        <f t="shared" si="6"/>
        <v>40</v>
      </c>
      <c r="T13" s="125">
        <f t="shared" si="8"/>
        <v>40</v>
      </c>
    </row>
    <row r="14" spans="1:23" ht="15.6">
      <c r="E14" s="125">
        <f t="shared" si="4"/>
        <v>40</v>
      </c>
      <c r="F14" s="125">
        <f t="shared" si="4"/>
        <v>40</v>
      </c>
      <c r="G14" s="125">
        <f t="shared" si="4"/>
        <v>40</v>
      </c>
      <c r="H14" s="129">
        <f>$B$3</f>
        <v>5</v>
      </c>
      <c r="I14" s="129">
        <f t="shared" ref="I14:K14" si="11">$B$3</f>
        <v>5</v>
      </c>
      <c r="J14" s="129">
        <f t="shared" si="11"/>
        <v>5</v>
      </c>
      <c r="K14" s="129">
        <f t="shared" si="11"/>
        <v>5</v>
      </c>
      <c r="L14" s="128"/>
      <c r="M14" s="129">
        <f t="shared" ref="H14:O16" si="12">$B$3</f>
        <v>5</v>
      </c>
      <c r="N14" s="129">
        <f t="shared" si="12"/>
        <v>5</v>
      </c>
      <c r="O14" s="129">
        <f t="shared" si="12"/>
        <v>5</v>
      </c>
      <c r="P14" s="125">
        <f t="shared" si="6"/>
        <v>40</v>
      </c>
      <c r="Q14" s="125">
        <f t="shared" si="6"/>
        <v>40</v>
      </c>
      <c r="R14" s="125">
        <f t="shared" si="6"/>
        <v>40</v>
      </c>
      <c r="S14" s="125">
        <f t="shared" si="6"/>
        <v>40</v>
      </c>
      <c r="T14" s="125">
        <f t="shared" si="8"/>
        <v>40</v>
      </c>
    </row>
    <row r="15" spans="1:23" ht="15.6">
      <c r="E15" s="125">
        <f t="shared" si="4"/>
        <v>40</v>
      </c>
      <c r="F15" s="125">
        <f t="shared" si="4"/>
        <v>40</v>
      </c>
      <c r="G15" s="125">
        <f t="shared" si="4"/>
        <v>40</v>
      </c>
      <c r="H15" s="129">
        <f t="shared" si="12"/>
        <v>5</v>
      </c>
      <c r="I15" s="129">
        <f t="shared" si="12"/>
        <v>5</v>
      </c>
      <c r="J15" s="129">
        <f t="shared" si="12"/>
        <v>5</v>
      </c>
      <c r="K15" s="129">
        <f t="shared" si="12"/>
        <v>5</v>
      </c>
      <c r="L15" s="128"/>
      <c r="M15" s="129">
        <f t="shared" si="12"/>
        <v>5</v>
      </c>
      <c r="N15" s="129">
        <f t="shared" si="12"/>
        <v>5</v>
      </c>
      <c r="O15" s="129">
        <f t="shared" si="12"/>
        <v>5</v>
      </c>
      <c r="P15" s="125">
        <f t="shared" si="6"/>
        <v>40</v>
      </c>
      <c r="Q15" s="125">
        <f t="shared" si="6"/>
        <v>40</v>
      </c>
      <c r="R15" s="125">
        <f t="shared" si="6"/>
        <v>40</v>
      </c>
      <c r="S15" s="125">
        <f t="shared" si="6"/>
        <v>40</v>
      </c>
      <c r="T15" s="125">
        <f t="shared" si="8"/>
        <v>40</v>
      </c>
    </row>
    <row r="16" spans="1:23" ht="15.6">
      <c r="E16" s="125">
        <f t="shared" si="4"/>
        <v>40</v>
      </c>
      <c r="F16" s="125">
        <f t="shared" si="4"/>
        <v>40</v>
      </c>
      <c r="G16" s="125">
        <f t="shared" si="4"/>
        <v>40</v>
      </c>
      <c r="H16" s="129">
        <f t="shared" si="12"/>
        <v>5</v>
      </c>
      <c r="I16" s="129">
        <f t="shared" si="12"/>
        <v>5</v>
      </c>
      <c r="J16" s="129">
        <f t="shared" si="12"/>
        <v>5</v>
      </c>
      <c r="K16" s="130">
        <f>$B$9</f>
        <v>300</v>
      </c>
      <c r="L16" s="130">
        <f>$B$9</f>
        <v>300</v>
      </c>
      <c r="M16" s="128"/>
      <c r="N16" s="128"/>
      <c r="O16" s="128"/>
      <c r="P16" s="128"/>
      <c r="Q16" s="128"/>
      <c r="R16" s="128"/>
      <c r="S16" s="128"/>
      <c r="T16" s="128"/>
    </row>
    <row r="17" spans="5:24" ht="15.6">
      <c r="E17" s="126">
        <f>$B$6</f>
        <v>200</v>
      </c>
      <c r="F17" s="126">
        <f t="shared" ref="F17:L21" si="13">$B$6</f>
        <v>200</v>
      </c>
      <c r="G17" s="126">
        <f t="shared" si="13"/>
        <v>200</v>
      </c>
      <c r="H17" s="126">
        <f t="shared" si="13"/>
        <v>200</v>
      </c>
      <c r="I17" s="126">
        <f t="shared" si="13"/>
        <v>200</v>
      </c>
      <c r="J17" s="126">
        <f t="shared" si="13"/>
        <v>200</v>
      </c>
      <c r="K17" s="130">
        <f t="shared" ref="K17:L18" si="14">$B$9</f>
        <v>300</v>
      </c>
      <c r="L17" s="130">
        <f t="shared" si="14"/>
        <v>300</v>
      </c>
      <c r="M17" s="125">
        <f t="shared" ref="M17:O21" si="15">$B$4</f>
        <v>40</v>
      </c>
      <c r="N17" s="125">
        <f t="shared" si="15"/>
        <v>40</v>
      </c>
      <c r="O17" s="125">
        <f t="shared" si="15"/>
        <v>40</v>
      </c>
      <c r="P17" s="125">
        <f t="shared" si="6"/>
        <v>40</v>
      </c>
      <c r="Q17" s="125">
        <f t="shared" si="6"/>
        <v>40</v>
      </c>
      <c r="R17" s="125">
        <f t="shared" si="6"/>
        <v>40</v>
      </c>
      <c r="S17" s="125">
        <f t="shared" si="6"/>
        <v>40</v>
      </c>
      <c r="T17" s="125">
        <f t="shared" si="8"/>
        <v>40</v>
      </c>
    </row>
    <row r="18" spans="5:24" ht="15.6">
      <c r="E18" s="126">
        <f t="shared" ref="E18:E21" si="16">$B$6</f>
        <v>200</v>
      </c>
      <c r="F18" s="126">
        <f t="shared" si="13"/>
        <v>200</v>
      </c>
      <c r="G18" s="126">
        <f t="shared" si="13"/>
        <v>200</v>
      </c>
      <c r="H18" s="126">
        <f t="shared" si="13"/>
        <v>200</v>
      </c>
      <c r="I18" s="126">
        <f t="shared" si="13"/>
        <v>200</v>
      </c>
      <c r="J18" s="126">
        <f t="shared" si="13"/>
        <v>200</v>
      </c>
      <c r="K18" s="130">
        <f t="shared" si="14"/>
        <v>300</v>
      </c>
      <c r="L18" s="130">
        <f t="shared" si="14"/>
        <v>300</v>
      </c>
      <c r="M18" s="125">
        <f t="shared" si="15"/>
        <v>40</v>
      </c>
      <c r="N18" s="125">
        <f t="shared" si="15"/>
        <v>40</v>
      </c>
      <c r="O18" s="125">
        <f t="shared" si="15"/>
        <v>40</v>
      </c>
      <c r="P18" s="125">
        <f t="shared" si="6"/>
        <v>40</v>
      </c>
      <c r="Q18" s="125">
        <f t="shared" si="6"/>
        <v>40</v>
      </c>
      <c r="R18" s="125">
        <f t="shared" si="6"/>
        <v>40</v>
      </c>
      <c r="S18" s="125">
        <f t="shared" si="6"/>
        <v>40</v>
      </c>
      <c r="T18" s="125">
        <f t="shared" si="8"/>
        <v>40</v>
      </c>
    </row>
    <row r="19" spans="5:24" ht="15.6">
      <c r="E19" s="126">
        <f t="shared" si="16"/>
        <v>200</v>
      </c>
      <c r="F19" s="126">
        <f t="shared" si="13"/>
        <v>200</v>
      </c>
      <c r="G19" s="126">
        <f t="shared" si="13"/>
        <v>200</v>
      </c>
      <c r="H19" s="126">
        <f t="shared" si="13"/>
        <v>200</v>
      </c>
      <c r="I19" s="126">
        <f t="shared" si="13"/>
        <v>200</v>
      </c>
      <c r="J19" s="126">
        <f t="shared" si="13"/>
        <v>200</v>
      </c>
      <c r="K19" s="126">
        <f t="shared" si="13"/>
        <v>200</v>
      </c>
      <c r="L19" s="126">
        <f t="shared" si="13"/>
        <v>200</v>
      </c>
      <c r="M19" s="125">
        <f t="shared" si="15"/>
        <v>40</v>
      </c>
      <c r="N19" s="125">
        <f t="shared" si="15"/>
        <v>40</v>
      </c>
      <c r="O19" s="125">
        <f t="shared" si="15"/>
        <v>40</v>
      </c>
      <c r="P19" s="125">
        <f t="shared" si="6"/>
        <v>40</v>
      </c>
      <c r="Q19" s="2"/>
      <c r="R19" s="2"/>
      <c r="S19" s="2"/>
      <c r="T19" s="2"/>
    </row>
    <row r="20" spans="5:24" ht="15.6">
      <c r="E20" s="126">
        <f t="shared" si="16"/>
        <v>200</v>
      </c>
      <c r="F20" s="126">
        <f t="shared" si="13"/>
        <v>200</v>
      </c>
      <c r="G20" s="126">
        <f t="shared" si="13"/>
        <v>200</v>
      </c>
      <c r="H20" s="126">
        <f t="shared" si="13"/>
        <v>200</v>
      </c>
      <c r="I20" s="126">
        <f t="shared" si="13"/>
        <v>200</v>
      </c>
      <c r="J20" s="126">
        <f t="shared" si="13"/>
        <v>200</v>
      </c>
      <c r="K20" s="126">
        <f t="shared" si="13"/>
        <v>200</v>
      </c>
      <c r="L20" s="126">
        <f t="shared" si="13"/>
        <v>200</v>
      </c>
      <c r="M20" s="125">
        <f t="shared" si="15"/>
        <v>40</v>
      </c>
      <c r="N20" s="125">
        <f t="shared" si="15"/>
        <v>40</v>
      </c>
      <c r="O20" s="125">
        <f t="shared" si="15"/>
        <v>40</v>
      </c>
      <c r="P20" s="125">
        <f t="shared" si="6"/>
        <v>40</v>
      </c>
      <c r="Q20" s="2"/>
      <c r="R20" s="2"/>
      <c r="S20" s="2"/>
      <c r="T20" s="2"/>
    </row>
    <row r="21" spans="5:24" ht="15.6">
      <c r="E21" s="126">
        <f t="shared" si="16"/>
        <v>200</v>
      </c>
      <c r="F21" s="126">
        <f t="shared" si="13"/>
        <v>200</v>
      </c>
      <c r="G21" s="126">
        <f t="shared" si="13"/>
        <v>200</v>
      </c>
      <c r="H21" s="126">
        <f t="shared" si="13"/>
        <v>200</v>
      </c>
      <c r="I21" s="126">
        <f t="shared" si="13"/>
        <v>200</v>
      </c>
      <c r="J21" s="126">
        <f t="shared" si="13"/>
        <v>200</v>
      </c>
      <c r="K21" s="126">
        <f t="shared" si="13"/>
        <v>200</v>
      </c>
      <c r="L21" s="126">
        <f t="shared" si="13"/>
        <v>200</v>
      </c>
      <c r="M21" s="125">
        <f t="shared" si="15"/>
        <v>40</v>
      </c>
      <c r="N21" s="125">
        <f t="shared" si="15"/>
        <v>40</v>
      </c>
      <c r="O21" s="125">
        <f t="shared" si="15"/>
        <v>40</v>
      </c>
      <c r="P21" s="125">
        <f t="shared" si="6"/>
        <v>40</v>
      </c>
      <c r="Q21" s="2"/>
      <c r="R21" s="2"/>
      <c r="S21" s="2"/>
      <c r="T21" s="2"/>
    </row>
    <row r="22" spans="5:24">
      <c r="E22">
        <f t="shared" ref="E22:T22" si="17">SUM(E3:E21)</f>
        <v>1480</v>
      </c>
      <c r="F22">
        <f t="shared" si="17"/>
        <v>1480</v>
      </c>
      <c r="G22">
        <f t="shared" si="17"/>
        <v>1520</v>
      </c>
      <c r="H22">
        <f t="shared" si="17"/>
        <v>1415</v>
      </c>
      <c r="I22">
        <f t="shared" si="17"/>
        <v>2055</v>
      </c>
      <c r="J22">
        <f t="shared" si="17"/>
        <v>2055</v>
      </c>
      <c r="K22">
        <f t="shared" si="17"/>
        <v>2550</v>
      </c>
      <c r="L22">
        <f t="shared" si="17"/>
        <v>1780</v>
      </c>
      <c r="M22">
        <f t="shared" si="17"/>
        <v>615</v>
      </c>
      <c r="N22">
        <f t="shared" si="17"/>
        <v>1575</v>
      </c>
      <c r="O22">
        <f t="shared" si="17"/>
        <v>1575</v>
      </c>
      <c r="P22">
        <f t="shared" si="17"/>
        <v>1680</v>
      </c>
      <c r="Q22">
        <f t="shared" si="17"/>
        <v>1560</v>
      </c>
      <c r="R22">
        <f t="shared" si="17"/>
        <v>1560</v>
      </c>
      <c r="S22">
        <f t="shared" si="17"/>
        <v>1560</v>
      </c>
      <c r="T22">
        <f t="shared" si="17"/>
        <v>1560</v>
      </c>
      <c r="U22" s="34">
        <f>SUM(E22:T22)</f>
        <v>26020</v>
      </c>
    </row>
    <row r="25" spans="5:24">
      <c r="E25" s="34" t="s">
        <v>124</v>
      </c>
    </row>
    <row r="26" spans="5:24" ht="15.6">
      <c r="E26" s="2"/>
      <c r="F26" s="2"/>
      <c r="G26" s="135">
        <f t="shared" ref="G26:M31" si="18">G3+$C$4</f>
        <v>44</v>
      </c>
      <c r="H26" s="135">
        <f t="shared" si="18"/>
        <v>44</v>
      </c>
      <c r="I26" s="135">
        <f t="shared" si="18"/>
        <v>44</v>
      </c>
      <c r="J26" s="135">
        <f t="shared" si="18"/>
        <v>44</v>
      </c>
      <c r="K26" s="135">
        <f t="shared" si="18"/>
        <v>44</v>
      </c>
      <c r="L26" s="135">
        <f t="shared" si="18"/>
        <v>44</v>
      </c>
      <c r="M26" s="135">
        <f t="shared" si="18"/>
        <v>44</v>
      </c>
      <c r="N26" s="131">
        <f>N3+$C$6</f>
        <v>215</v>
      </c>
      <c r="O26" s="131">
        <f t="shared" ref="O26:R26" si="19">O3+$C$6</f>
        <v>215</v>
      </c>
      <c r="P26" s="131">
        <f t="shared" si="19"/>
        <v>215</v>
      </c>
      <c r="Q26" s="131">
        <f t="shared" si="19"/>
        <v>215</v>
      </c>
      <c r="R26" s="131">
        <f t="shared" si="19"/>
        <v>215</v>
      </c>
      <c r="S26" s="133">
        <v>25</v>
      </c>
      <c r="T26" s="133">
        <v>25</v>
      </c>
      <c r="V26" s="133" t="s">
        <v>125</v>
      </c>
      <c r="W26" s="137">
        <f>SUM(N26:T31)+L29+M29</f>
        <v>8670</v>
      </c>
      <c r="X26" s="137">
        <f>W26-W3</f>
        <v>270</v>
      </c>
    </row>
    <row r="27" spans="5:24" ht="15.6">
      <c r="E27" s="2"/>
      <c r="F27" s="2"/>
      <c r="G27" s="135">
        <f t="shared" si="18"/>
        <v>44</v>
      </c>
      <c r="H27" s="135">
        <f t="shared" si="18"/>
        <v>44</v>
      </c>
      <c r="I27" s="135">
        <f t="shared" si="18"/>
        <v>44</v>
      </c>
      <c r="J27" s="135">
        <f t="shared" si="18"/>
        <v>44</v>
      </c>
      <c r="K27" s="135">
        <f t="shared" si="18"/>
        <v>44</v>
      </c>
      <c r="L27" s="135">
        <f t="shared" si="18"/>
        <v>44</v>
      </c>
      <c r="M27" s="135">
        <f t="shared" si="18"/>
        <v>44</v>
      </c>
      <c r="N27" s="131">
        <f t="shared" ref="N27:R27" si="20">N4+$C$6</f>
        <v>215</v>
      </c>
      <c r="O27" s="131">
        <f t="shared" si="20"/>
        <v>215</v>
      </c>
      <c r="P27" s="131">
        <f t="shared" si="20"/>
        <v>215</v>
      </c>
      <c r="Q27" s="131">
        <f t="shared" si="20"/>
        <v>215</v>
      </c>
      <c r="R27" s="131">
        <f t="shared" si="20"/>
        <v>215</v>
      </c>
      <c r="S27" s="133">
        <v>25</v>
      </c>
      <c r="T27" s="133">
        <v>25</v>
      </c>
      <c r="W27" s="137">
        <f>SUM(G33:K35)+SUM(I36:K36)</f>
        <v>3780</v>
      </c>
      <c r="X27" s="137">
        <f>W27-W4</f>
        <v>1380</v>
      </c>
    </row>
    <row r="28" spans="5:24" ht="15.6">
      <c r="E28" s="135">
        <f>E5+$C$4</f>
        <v>44</v>
      </c>
      <c r="F28" s="135">
        <f>F5+$C$4</f>
        <v>44</v>
      </c>
      <c r="G28" s="127"/>
      <c r="H28" s="135">
        <f t="shared" si="18"/>
        <v>44</v>
      </c>
      <c r="I28" s="135">
        <f t="shared" si="18"/>
        <v>44</v>
      </c>
      <c r="J28" s="135">
        <f t="shared" si="18"/>
        <v>44</v>
      </c>
      <c r="K28" s="135">
        <f t="shared" si="18"/>
        <v>44</v>
      </c>
      <c r="L28" s="135">
        <f t="shared" si="18"/>
        <v>44</v>
      </c>
      <c r="M28" s="135">
        <f t="shared" si="18"/>
        <v>44</v>
      </c>
      <c r="N28" s="131">
        <f t="shared" ref="N28:R28" si="21">N5+$C$6</f>
        <v>215</v>
      </c>
      <c r="O28" s="131">
        <f t="shared" si="21"/>
        <v>215</v>
      </c>
      <c r="P28" s="131">
        <f t="shared" si="21"/>
        <v>215</v>
      </c>
      <c r="Q28" s="131">
        <f t="shared" si="21"/>
        <v>215</v>
      </c>
      <c r="R28" s="131">
        <f t="shared" si="21"/>
        <v>215</v>
      </c>
      <c r="S28" s="131">
        <f t="shared" ref="S28:T28" si="22">S5+$C$6</f>
        <v>215</v>
      </c>
      <c r="T28" s="131">
        <f t="shared" si="22"/>
        <v>215</v>
      </c>
      <c r="W28" s="137">
        <f>SUM(E40:J44)+SUM(K42:K44)+L44</f>
        <v>7310</v>
      </c>
      <c r="X28" s="137">
        <f>W28-W5</f>
        <v>110</v>
      </c>
    </row>
    <row r="29" spans="5:24" ht="15.6">
      <c r="E29" s="135">
        <f t="shared" ref="E29:F39" si="23">E6+$C$4</f>
        <v>44</v>
      </c>
      <c r="F29" s="135">
        <f t="shared" si="23"/>
        <v>44</v>
      </c>
      <c r="G29" s="135">
        <f t="shared" ref="G29" si="24">G6+$C$4</f>
        <v>44</v>
      </c>
      <c r="H29" s="127"/>
      <c r="I29" s="135">
        <f t="shared" si="18"/>
        <v>44</v>
      </c>
      <c r="J29" s="135">
        <f t="shared" si="18"/>
        <v>44</v>
      </c>
      <c r="K29" s="135">
        <f t="shared" si="18"/>
        <v>44</v>
      </c>
      <c r="L29" s="131">
        <f>$B$6</f>
        <v>200</v>
      </c>
      <c r="M29" s="131">
        <f>$B$6</f>
        <v>200</v>
      </c>
      <c r="N29" s="131">
        <f t="shared" ref="N29:R29" si="25">N6+$C$6</f>
        <v>215</v>
      </c>
      <c r="O29" s="131">
        <f t="shared" si="25"/>
        <v>215</v>
      </c>
      <c r="P29" s="131">
        <f t="shared" si="25"/>
        <v>215</v>
      </c>
      <c r="Q29" s="131">
        <f t="shared" si="25"/>
        <v>215</v>
      </c>
      <c r="R29" s="131">
        <f t="shared" si="25"/>
        <v>215</v>
      </c>
      <c r="S29" s="131">
        <f t="shared" ref="S29:T29" si="26">S6+$C$6</f>
        <v>215</v>
      </c>
      <c r="T29" s="131">
        <f t="shared" si="26"/>
        <v>215</v>
      </c>
      <c r="W29" s="137">
        <f>SUM(W26:W28)</f>
        <v>19760</v>
      </c>
      <c r="X29" s="137">
        <f>SUM(X26:X28)</f>
        <v>1760</v>
      </c>
    </row>
    <row r="30" spans="5:24" ht="15.6">
      <c r="E30" s="135">
        <f t="shared" si="23"/>
        <v>44</v>
      </c>
      <c r="F30" s="135">
        <f t="shared" si="23"/>
        <v>44</v>
      </c>
      <c r="G30" s="135">
        <f t="shared" ref="G30:H30" si="27">G7+$C$4</f>
        <v>44</v>
      </c>
      <c r="H30" s="135">
        <f t="shared" si="27"/>
        <v>44</v>
      </c>
      <c r="I30" s="128"/>
      <c r="J30" s="135">
        <f t="shared" si="18"/>
        <v>44</v>
      </c>
      <c r="K30" s="135">
        <f t="shared" si="18"/>
        <v>44</v>
      </c>
      <c r="L30" s="135">
        <f t="shared" ref="L30:M30" si="28">L7+$C$4</f>
        <v>44</v>
      </c>
      <c r="M30" s="135">
        <f t="shared" si="28"/>
        <v>44</v>
      </c>
      <c r="N30" s="131">
        <f t="shared" ref="N30:R30" si="29">N7+$C$6</f>
        <v>215</v>
      </c>
      <c r="O30" s="131">
        <f t="shared" si="29"/>
        <v>215</v>
      </c>
      <c r="P30" s="131">
        <f t="shared" si="29"/>
        <v>215</v>
      </c>
      <c r="Q30" s="131">
        <f t="shared" si="29"/>
        <v>215</v>
      </c>
      <c r="R30" s="131">
        <f t="shared" si="29"/>
        <v>215</v>
      </c>
      <c r="S30" s="131">
        <f t="shared" ref="S30:T30" si="30">S7+$C$6</f>
        <v>215</v>
      </c>
      <c r="T30" s="131">
        <f t="shared" si="30"/>
        <v>215</v>
      </c>
    </row>
    <row r="31" spans="5:24" ht="15.6">
      <c r="E31" s="135">
        <f t="shared" si="23"/>
        <v>44</v>
      </c>
      <c r="F31" s="135">
        <f t="shared" si="23"/>
        <v>44</v>
      </c>
      <c r="G31" s="135">
        <f t="shared" ref="G31:H31" si="31">G8+$C$4</f>
        <v>44</v>
      </c>
      <c r="H31" s="135">
        <f t="shared" si="31"/>
        <v>44</v>
      </c>
      <c r="I31" s="135">
        <f t="shared" ref="I31" si="32">I8+$C$4</f>
        <v>44</v>
      </c>
      <c r="J31" s="128"/>
      <c r="K31" s="135">
        <f t="shared" si="18"/>
        <v>44</v>
      </c>
      <c r="L31" s="135">
        <f t="shared" ref="L31:M32" si="33">L8+$C$4</f>
        <v>44</v>
      </c>
      <c r="M31" s="135">
        <f t="shared" si="33"/>
        <v>44</v>
      </c>
      <c r="N31" s="131">
        <f t="shared" ref="N31:R31" si="34">N8+$C$6</f>
        <v>215</v>
      </c>
      <c r="O31" s="131">
        <f t="shared" si="34"/>
        <v>215</v>
      </c>
      <c r="P31" s="131">
        <f t="shared" si="34"/>
        <v>215</v>
      </c>
      <c r="Q31" s="131">
        <f t="shared" si="34"/>
        <v>215</v>
      </c>
      <c r="R31" s="131">
        <f t="shared" si="34"/>
        <v>215</v>
      </c>
      <c r="S31" s="131">
        <f t="shared" ref="S31:T31" si="35">S8+$C$6</f>
        <v>215</v>
      </c>
      <c r="T31" s="131">
        <f t="shared" si="35"/>
        <v>215</v>
      </c>
      <c r="W31">
        <f>200-25</f>
        <v>175</v>
      </c>
      <c r="X31">
        <f>4*W31</f>
        <v>700</v>
      </c>
    </row>
    <row r="32" spans="5:24" ht="15.6">
      <c r="E32" s="135">
        <f t="shared" si="23"/>
        <v>44</v>
      </c>
      <c r="F32" s="135">
        <f t="shared" si="23"/>
        <v>44</v>
      </c>
      <c r="G32" s="135">
        <f t="shared" ref="G32:H32" si="36">G9+$C$4</f>
        <v>44</v>
      </c>
      <c r="H32" s="135">
        <f t="shared" si="36"/>
        <v>44</v>
      </c>
      <c r="I32" s="135">
        <f t="shared" ref="I32:J32" si="37">I9+$C$4</f>
        <v>44</v>
      </c>
      <c r="J32" s="135">
        <f t="shared" si="37"/>
        <v>44</v>
      </c>
      <c r="K32" s="128"/>
      <c r="L32" s="135">
        <f t="shared" si="33"/>
        <v>44</v>
      </c>
      <c r="M32" s="135">
        <f t="shared" si="33"/>
        <v>44</v>
      </c>
      <c r="N32" s="135">
        <f t="shared" ref="N32:T32" si="38">N9+$C$4</f>
        <v>44</v>
      </c>
      <c r="O32" s="135">
        <f t="shared" si="38"/>
        <v>44</v>
      </c>
      <c r="P32" s="135">
        <f t="shared" si="38"/>
        <v>44</v>
      </c>
      <c r="Q32" s="135">
        <f t="shared" si="38"/>
        <v>44</v>
      </c>
      <c r="R32" s="135">
        <f t="shared" si="38"/>
        <v>44</v>
      </c>
      <c r="S32" s="135">
        <f t="shared" si="38"/>
        <v>44</v>
      </c>
      <c r="T32" s="135">
        <f t="shared" si="38"/>
        <v>44</v>
      </c>
    </row>
    <row r="33" spans="5:21" ht="15.6">
      <c r="E33" s="135">
        <f t="shared" si="23"/>
        <v>44</v>
      </c>
      <c r="F33" s="135">
        <f t="shared" si="23"/>
        <v>44</v>
      </c>
      <c r="G33" s="131">
        <f>$B$6</f>
        <v>200</v>
      </c>
      <c r="H33" s="131">
        <f>$B$6</f>
        <v>200</v>
      </c>
      <c r="I33" s="131">
        <f>I10+$C$6</f>
        <v>215</v>
      </c>
      <c r="J33" s="131">
        <f t="shared" ref="J33:K33" si="39">J10+$C$6</f>
        <v>215</v>
      </c>
      <c r="K33" s="131">
        <f t="shared" si="39"/>
        <v>215</v>
      </c>
      <c r="L33" s="128"/>
      <c r="M33" s="135">
        <f t="shared" ref="M33:N33" si="40">M10+$C$4</f>
        <v>44</v>
      </c>
      <c r="N33" s="135">
        <f t="shared" si="40"/>
        <v>44</v>
      </c>
      <c r="O33" s="135">
        <f t="shared" ref="O33:T33" si="41">O10+$C$4</f>
        <v>44</v>
      </c>
      <c r="P33" s="135">
        <f t="shared" si="41"/>
        <v>44</v>
      </c>
      <c r="Q33" s="135">
        <f t="shared" si="41"/>
        <v>44</v>
      </c>
      <c r="R33" s="135">
        <f t="shared" si="41"/>
        <v>44</v>
      </c>
      <c r="S33" s="135">
        <f t="shared" si="41"/>
        <v>44</v>
      </c>
      <c r="T33" s="135">
        <f t="shared" si="41"/>
        <v>44</v>
      </c>
    </row>
    <row r="34" spans="5:21" ht="15.6">
      <c r="E34" s="135">
        <f t="shared" si="23"/>
        <v>44</v>
      </c>
      <c r="F34" s="135">
        <f t="shared" si="23"/>
        <v>44</v>
      </c>
      <c r="G34" s="131">
        <f t="shared" ref="G34:H35" si="42">$B$6</f>
        <v>200</v>
      </c>
      <c r="H34" s="131">
        <f t="shared" si="42"/>
        <v>200</v>
      </c>
      <c r="I34" s="131">
        <f t="shared" ref="I34:K34" si="43">I11+$C$6</f>
        <v>215</v>
      </c>
      <c r="J34" s="131">
        <f t="shared" si="43"/>
        <v>215</v>
      </c>
      <c r="K34" s="131">
        <f t="shared" si="43"/>
        <v>215</v>
      </c>
      <c r="L34" s="128"/>
      <c r="M34" s="135">
        <f t="shared" ref="M34:N34" si="44">M11+$C$4</f>
        <v>44</v>
      </c>
      <c r="N34" s="135">
        <f t="shared" si="44"/>
        <v>44</v>
      </c>
      <c r="O34" s="135">
        <f t="shared" ref="O34:T34" si="45">O11+$C$4</f>
        <v>44</v>
      </c>
      <c r="P34" s="135">
        <f t="shared" si="45"/>
        <v>44</v>
      </c>
      <c r="Q34" s="135">
        <f t="shared" si="45"/>
        <v>44</v>
      </c>
      <c r="R34" s="135">
        <f t="shared" si="45"/>
        <v>44</v>
      </c>
      <c r="S34" s="135">
        <f t="shared" si="45"/>
        <v>44</v>
      </c>
      <c r="T34" s="135">
        <f t="shared" si="45"/>
        <v>44</v>
      </c>
    </row>
    <row r="35" spans="5:21" ht="15.6">
      <c r="E35" s="135">
        <f t="shared" si="23"/>
        <v>44</v>
      </c>
      <c r="F35" s="135">
        <f t="shared" si="23"/>
        <v>44</v>
      </c>
      <c r="G35" s="131">
        <f t="shared" si="42"/>
        <v>200</v>
      </c>
      <c r="H35" s="131">
        <f t="shared" si="42"/>
        <v>200</v>
      </c>
      <c r="I35" s="131">
        <f t="shared" ref="I35:K35" si="46">I12+$C$6</f>
        <v>215</v>
      </c>
      <c r="J35" s="131">
        <f t="shared" si="46"/>
        <v>215</v>
      </c>
      <c r="K35" s="131">
        <f t="shared" si="46"/>
        <v>215</v>
      </c>
      <c r="L35" s="128"/>
      <c r="M35" s="135">
        <f t="shared" ref="M35:N35" si="47">M12+$C$4</f>
        <v>44</v>
      </c>
      <c r="N35" s="135">
        <f t="shared" si="47"/>
        <v>44</v>
      </c>
      <c r="O35" s="134">
        <f>$B$3</f>
        <v>5</v>
      </c>
      <c r="P35" s="134">
        <f>$B$3</f>
        <v>5</v>
      </c>
      <c r="Q35" s="135">
        <f t="shared" ref="Q35:T35" si="48">Q12+$C$4</f>
        <v>44</v>
      </c>
      <c r="R35" s="135">
        <f t="shared" si="48"/>
        <v>44</v>
      </c>
      <c r="S35" s="135">
        <f t="shared" si="48"/>
        <v>44</v>
      </c>
      <c r="T35" s="135">
        <f t="shared" si="48"/>
        <v>44</v>
      </c>
    </row>
    <row r="36" spans="5:21" ht="15.6">
      <c r="E36" s="135">
        <f t="shared" si="23"/>
        <v>44</v>
      </c>
      <c r="F36" s="135">
        <f t="shared" si="23"/>
        <v>44</v>
      </c>
      <c r="G36" s="135">
        <f t="shared" ref="G36:H36" si="49">G13+$C$4</f>
        <v>44</v>
      </c>
      <c r="H36" s="135">
        <f t="shared" si="49"/>
        <v>44</v>
      </c>
      <c r="I36" s="131">
        <f t="shared" ref="I36:K36" si="50">I13+$C$6</f>
        <v>215</v>
      </c>
      <c r="J36" s="131">
        <f t="shared" si="50"/>
        <v>215</v>
      </c>
      <c r="K36" s="131">
        <f t="shared" si="50"/>
        <v>215</v>
      </c>
      <c r="L36" s="128"/>
      <c r="M36" s="134">
        <f t="shared" ref="K36:M37" si="51">M13+$C$3</f>
        <v>6</v>
      </c>
      <c r="N36" s="134">
        <f t="shared" ref="N36:O37" si="52">N13+$C$3</f>
        <v>6</v>
      </c>
      <c r="O36" s="134">
        <f t="shared" si="52"/>
        <v>6</v>
      </c>
      <c r="P36" s="134">
        <f>$B$3</f>
        <v>5</v>
      </c>
      <c r="Q36" s="135">
        <f t="shared" ref="Q36:T36" si="53">Q13+$C$4</f>
        <v>44</v>
      </c>
      <c r="R36" s="135">
        <f t="shared" si="53"/>
        <v>44</v>
      </c>
      <c r="S36" s="135">
        <f t="shared" si="53"/>
        <v>44</v>
      </c>
      <c r="T36" s="135">
        <f t="shared" si="53"/>
        <v>44</v>
      </c>
    </row>
    <row r="37" spans="5:21" ht="15.6">
      <c r="E37" s="135">
        <f t="shared" si="23"/>
        <v>44</v>
      </c>
      <c r="F37" s="135">
        <f t="shared" si="23"/>
        <v>44</v>
      </c>
      <c r="G37" s="135">
        <f t="shared" ref="G37" si="54">G14+$C$4</f>
        <v>44</v>
      </c>
      <c r="H37" s="134">
        <f>H14+$C$3</f>
        <v>6</v>
      </c>
      <c r="I37" s="134">
        <f t="shared" ref="I37:J37" si="55">I14+$C$3</f>
        <v>6</v>
      </c>
      <c r="J37" s="134">
        <f t="shared" si="55"/>
        <v>6</v>
      </c>
      <c r="K37" s="134">
        <f t="shared" si="51"/>
        <v>6</v>
      </c>
      <c r="L37" s="128"/>
      <c r="M37" s="134">
        <f t="shared" si="51"/>
        <v>6</v>
      </c>
      <c r="N37" s="134">
        <f t="shared" si="52"/>
        <v>6</v>
      </c>
      <c r="O37" s="134">
        <f t="shared" si="52"/>
        <v>6</v>
      </c>
      <c r="P37" s="135">
        <f t="shared" ref="P37" si="56">P14+$C$4</f>
        <v>44</v>
      </c>
      <c r="Q37" s="135">
        <f t="shared" ref="Q37:T37" si="57">Q14+$C$4</f>
        <v>44</v>
      </c>
      <c r="R37" s="135">
        <f t="shared" si="57"/>
        <v>44</v>
      </c>
      <c r="S37" s="135">
        <f t="shared" si="57"/>
        <v>44</v>
      </c>
      <c r="T37" s="135">
        <f t="shared" si="57"/>
        <v>44</v>
      </c>
    </row>
    <row r="38" spans="5:21" ht="15.6">
      <c r="E38" s="135">
        <f t="shared" si="23"/>
        <v>44</v>
      </c>
      <c r="F38" s="135">
        <f t="shared" si="23"/>
        <v>44</v>
      </c>
      <c r="G38" s="135">
        <f t="shared" ref="G38" si="58">G15+$C$4</f>
        <v>44</v>
      </c>
      <c r="H38" s="134">
        <f t="shared" ref="H38:J39" si="59">H15+$C$3</f>
        <v>6</v>
      </c>
      <c r="I38" s="134">
        <f t="shared" si="59"/>
        <v>6</v>
      </c>
      <c r="J38" s="134">
        <f t="shared" si="59"/>
        <v>6</v>
      </c>
      <c r="K38" s="134">
        <f t="shared" ref="K38:M38" si="60">K15+$C$3</f>
        <v>6</v>
      </c>
      <c r="L38" s="128"/>
      <c r="M38" s="134">
        <f t="shared" si="60"/>
        <v>6</v>
      </c>
      <c r="N38" s="134">
        <f t="shared" ref="N38:O38" si="61">N15+$C$3</f>
        <v>6</v>
      </c>
      <c r="O38" s="134">
        <f t="shared" si="61"/>
        <v>6</v>
      </c>
      <c r="P38" s="135">
        <f t="shared" ref="P38" si="62">P15+$C$4</f>
        <v>44</v>
      </c>
      <c r="Q38" s="135">
        <f t="shared" ref="Q38:T41" si="63">Q15+$C$4</f>
        <v>44</v>
      </c>
      <c r="R38" s="135">
        <f t="shared" si="63"/>
        <v>44</v>
      </c>
      <c r="S38" s="135">
        <f t="shared" si="63"/>
        <v>44</v>
      </c>
      <c r="T38" s="135">
        <f t="shared" si="63"/>
        <v>44</v>
      </c>
    </row>
    <row r="39" spans="5:21" ht="15.6">
      <c r="E39" s="135">
        <f t="shared" si="23"/>
        <v>44</v>
      </c>
      <c r="F39" s="135">
        <f t="shared" si="23"/>
        <v>44</v>
      </c>
      <c r="G39" s="135">
        <f t="shared" ref="G39" si="64">G16+$C$4</f>
        <v>44</v>
      </c>
      <c r="H39" s="134">
        <f t="shared" si="59"/>
        <v>6</v>
      </c>
      <c r="I39" s="134">
        <f t="shared" si="59"/>
        <v>6</v>
      </c>
      <c r="J39" s="134">
        <f t="shared" si="59"/>
        <v>6</v>
      </c>
      <c r="K39" s="132">
        <f>K16+$C$9</f>
        <v>324</v>
      </c>
      <c r="L39" s="132">
        <f>L16+$C$9</f>
        <v>324</v>
      </c>
      <c r="M39" s="128"/>
      <c r="N39" s="128"/>
      <c r="O39" s="128"/>
      <c r="P39" s="128"/>
      <c r="Q39" s="128"/>
      <c r="R39" s="127"/>
      <c r="S39" s="127"/>
      <c r="T39" s="127"/>
    </row>
    <row r="40" spans="5:21" ht="15.6">
      <c r="E40" s="131">
        <f>E17+$C$6</f>
        <v>215</v>
      </c>
      <c r="F40" s="131">
        <f t="shared" ref="F40:J40" si="65">F17+$C$6</f>
        <v>215</v>
      </c>
      <c r="G40" s="131">
        <f t="shared" si="65"/>
        <v>215</v>
      </c>
      <c r="H40" s="131">
        <f t="shared" si="65"/>
        <v>215</v>
      </c>
      <c r="I40" s="131">
        <f t="shared" si="65"/>
        <v>215</v>
      </c>
      <c r="J40" s="131">
        <f t="shared" si="65"/>
        <v>215</v>
      </c>
      <c r="K40" s="132">
        <f t="shared" ref="K40:L41" si="66">K17+$C$9</f>
        <v>324</v>
      </c>
      <c r="L40" s="132">
        <f t="shared" si="66"/>
        <v>324</v>
      </c>
      <c r="M40" s="135">
        <f t="shared" ref="M40:S40" si="67">M17+$C$4</f>
        <v>44</v>
      </c>
      <c r="N40" s="135">
        <f t="shared" si="67"/>
        <v>44</v>
      </c>
      <c r="O40" s="135">
        <f t="shared" si="67"/>
        <v>44</v>
      </c>
      <c r="P40" s="135">
        <f t="shared" si="67"/>
        <v>44</v>
      </c>
      <c r="Q40" s="135">
        <f t="shared" si="67"/>
        <v>44</v>
      </c>
      <c r="R40" s="135">
        <f t="shared" si="67"/>
        <v>44</v>
      </c>
      <c r="S40" s="135">
        <f t="shared" si="67"/>
        <v>44</v>
      </c>
      <c r="T40" s="135">
        <f t="shared" si="63"/>
        <v>44</v>
      </c>
    </row>
    <row r="41" spans="5:21" ht="15.6">
      <c r="E41" s="131">
        <f t="shared" ref="E41:J44" si="68">E18+$C$6</f>
        <v>215</v>
      </c>
      <c r="F41" s="131">
        <f t="shared" si="68"/>
        <v>215</v>
      </c>
      <c r="G41" s="131">
        <f t="shared" si="68"/>
        <v>215</v>
      </c>
      <c r="H41" s="131">
        <f t="shared" si="68"/>
        <v>215</v>
      </c>
      <c r="I41" s="131">
        <f t="shared" si="68"/>
        <v>215</v>
      </c>
      <c r="J41" s="131">
        <f t="shared" si="68"/>
        <v>215</v>
      </c>
      <c r="K41" s="132">
        <f t="shared" si="66"/>
        <v>324</v>
      </c>
      <c r="L41" s="135">
        <f>$B$4</f>
        <v>40</v>
      </c>
      <c r="M41" s="135">
        <f t="shared" ref="M41:S41" si="69">M18+$C$4</f>
        <v>44</v>
      </c>
      <c r="N41" s="135">
        <f t="shared" si="69"/>
        <v>44</v>
      </c>
      <c r="O41" s="135">
        <f t="shared" si="69"/>
        <v>44</v>
      </c>
      <c r="P41" s="135">
        <f t="shared" si="69"/>
        <v>44</v>
      </c>
      <c r="Q41" s="135">
        <f t="shared" si="69"/>
        <v>44</v>
      </c>
      <c r="R41" s="135">
        <f t="shared" si="69"/>
        <v>44</v>
      </c>
      <c r="S41" s="135">
        <f t="shared" si="69"/>
        <v>44</v>
      </c>
      <c r="T41" s="135">
        <f t="shared" si="63"/>
        <v>44</v>
      </c>
    </row>
    <row r="42" spans="5:21" ht="15.6">
      <c r="E42" s="131">
        <f t="shared" si="68"/>
        <v>215</v>
      </c>
      <c r="F42" s="131">
        <f t="shared" si="68"/>
        <v>215</v>
      </c>
      <c r="G42" s="131">
        <f t="shared" si="68"/>
        <v>215</v>
      </c>
      <c r="H42" s="131">
        <f t="shared" si="68"/>
        <v>215</v>
      </c>
      <c r="I42" s="131">
        <f t="shared" si="68"/>
        <v>215</v>
      </c>
      <c r="J42" s="131">
        <f t="shared" si="68"/>
        <v>215</v>
      </c>
      <c r="K42" s="131">
        <f t="shared" ref="K42" si="70">K19+$C$6</f>
        <v>215</v>
      </c>
      <c r="L42" s="135">
        <f t="shared" ref="L42:L43" si="71">$B$4</f>
        <v>40</v>
      </c>
      <c r="M42" s="135">
        <f t="shared" ref="M42:P42" si="72">M19+$C$4</f>
        <v>44</v>
      </c>
      <c r="N42" s="135">
        <f t="shared" si="72"/>
        <v>44</v>
      </c>
      <c r="O42" s="135">
        <f t="shared" si="72"/>
        <v>44</v>
      </c>
      <c r="P42" s="135">
        <f t="shared" si="72"/>
        <v>44</v>
      </c>
      <c r="Q42" s="2"/>
      <c r="R42" s="2"/>
      <c r="S42" s="2"/>
      <c r="T42" s="2"/>
    </row>
    <row r="43" spans="5:21" ht="15.6">
      <c r="E43" s="131">
        <f t="shared" si="68"/>
        <v>215</v>
      </c>
      <c r="F43" s="131">
        <f t="shared" si="68"/>
        <v>215</v>
      </c>
      <c r="G43" s="131">
        <f t="shared" si="68"/>
        <v>215</v>
      </c>
      <c r="H43" s="131">
        <f t="shared" si="68"/>
        <v>215</v>
      </c>
      <c r="I43" s="131">
        <f t="shared" si="68"/>
        <v>215</v>
      </c>
      <c r="J43" s="131">
        <f t="shared" si="68"/>
        <v>215</v>
      </c>
      <c r="K43" s="131">
        <f t="shared" ref="K43" si="73">K20+$C$6</f>
        <v>215</v>
      </c>
      <c r="L43" s="135">
        <f t="shared" si="71"/>
        <v>40</v>
      </c>
      <c r="M43" s="135">
        <f t="shared" ref="M43:P43" si="74">M20+$C$4</f>
        <v>44</v>
      </c>
      <c r="N43" s="135">
        <f t="shared" si="74"/>
        <v>44</v>
      </c>
      <c r="O43" s="135">
        <f t="shared" si="74"/>
        <v>44</v>
      </c>
      <c r="P43" s="135">
        <f t="shared" si="74"/>
        <v>44</v>
      </c>
      <c r="Q43" s="2"/>
      <c r="R43" s="2"/>
      <c r="S43" s="2"/>
      <c r="T43" s="2"/>
    </row>
    <row r="44" spans="5:21" ht="15.6">
      <c r="E44" s="131">
        <f t="shared" si="68"/>
        <v>215</v>
      </c>
      <c r="F44" s="131">
        <f t="shared" si="68"/>
        <v>215</v>
      </c>
      <c r="G44" s="131">
        <f t="shared" si="68"/>
        <v>215</v>
      </c>
      <c r="H44" s="131">
        <f t="shared" si="68"/>
        <v>215</v>
      </c>
      <c r="I44" s="131">
        <f t="shared" si="68"/>
        <v>215</v>
      </c>
      <c r="J44" s="131">
        <f t="shared" si="68"/>
        <v>215</v>
      </c>
      <c r="K44" s="131">
        <f t="shared" ref="K44:L44" si="75">K21+$C$6</f>
        <v>215</v>
      </c>
      <c r="L44" s="131">
        <f t="shared" si="75"/>
        <v>215</v>
      </c>
      <c r="M44" s="135">
        <f t="shared" ref="M44:P44" si="76">M21+$C$4</f>
        <v>44</v>
      </c>
      <c r="N44" s="135">
        <f t="shared" si="76"/>
        <v>44</v>
      </c>
      <c r="O44" s="135">
        <f t="shared" si="76"/>
        <v>44</v>
      </c>
      <c r="P44" s="135">
        <f t="shared" si="76"/>
        <v>44</v>
      </c>
      <c r="Q44" s="2"/>
      <c r="R44" s="2"/>
      <c r="S44" s="2"/>
      <c r="T44" s="2"/>
    </row>
    <row r="45" spans="5:21">
      <c r="E45">
        <f t="shared" ref="E45:T45" si="77">SUM(E26:E44)</f>
        <v>1603</v>
      </c>
      <c r="F45">
        <f t="shared" si="77"/>
        <v>1603</v>
      </c>
      <c r="G45">
        <f t="shared" si="77"/>
        <v>2115</v>
      </c>
      <c r="H45">
        <f t="shared" si="77"/>
        <v>2001</v>
      </c>
      <c r="I45">
        <f t="shared" si="77"/>
        <v>2217</v>
      </c>
      <c r="J45">
        <f t="shared" si="77"/>
        <v>2217</v>
      </c>
      <c r="K45">
        <f t="shared" si="77"/>
        <v>2753</v>
      </c>
      <c r="L45">
        <f t="shared" si="77"/>
        <v>1447</v>
      </c>
      <c r="M45">
        <f t="shared" si="77"/>
        <v>834</v>
      </c>
      <c r="N45">
        <f t="shared" si="77"/>
        <v>1704</v>
      </c>
      <c r="O45">
        <f t="shared" si="77"/>
        <v>1665</v>
      </c>
      <c r="P45">
        <f t="shared" si="77"/>
        <v>1740</v>
      </c>
      <c r="Q45">
        <f t="shared" si="77"/>
        <v>1686</v>
      </c>
      <c r="R45">
        <f t="shared" si="77"/>
        <v>1686</v>
      </c>
      <c r="S45">
        <f t="shared" si="77"/>
        <v>1306</v>
      </c>
      <c r="T45">
        <f t="shared" si="77"/>
        <v>1306</v>
      </c>
      <c r="U45" s="34">
        <f>SUM(E45:T45)</f>
        <v>27883</v>
      </c>
    </row>
    <row r="49" spans="5:5">
      <c r="E49" t="s">
        <v>126</v>
      </c>
    </row>
    <row r="50" spans="5:5">
      <c r="E50" t="s">
        <v>127</v>
      </c>
    </row>
    <row r="51" spans="5:5">
      <c r="E51" t="s">
        <v>128</v>
      </c>
    </row>
    <row r="52" spans="5:5">
      <c r="E5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pageSetUpPr fitToPage="1"/>
  </sheetPr>
  <dimension ref="A1:P23"/>
  <sheetViews>
    <sheetView showGridLines="0" zoomScale="90" zoomScaleNormal="90" workbookViewId="0">
      <selection activeCell="S21" sqref="S20:S21"/>
    </sheetView>
  </sheetViews>
  <sheetFormatPr defaultColWidth="36.28515625" defaultRowHeight="14.45"/>
  <cols>
    <col min="1" max="1" width="36.28515625" style="242"/>
    <col min="2" max="2" width="2.28515625" style="242" customWidth="1"/>
    <col min="3" max="3" width="12.28515625" style="242" customWidth="1"/>
    <col min="4" max="4" width="13.42578125" style="242" customWidth="1"/>
    <col min="5" max="5" width="15" style="242" customWidth="1"/>
    <col min="6" max="6" width="15.28515625" style="242" customWidth="1"/>
    <col min="7" max="7" width="14.42578125" style="242" customWidth="1"/>
    <col min="8" max="8" width="16.85546875" style="242" customWidth="1"/>
    <col min="9" max="9" width="0" style="242" hidden="1" customWidth="1"/>
    <col min="10" max="16" width="9" style="242" hidden="1" customWidth="1"/>
    <col min="17" max="17" width="0" style="242" hidden="1" customWidth="1"/>
    <col min="18" max="16384" width="36.28515625" style="242"/>
  </cols>
  <sheetData>
    <row r="1" spans="1:16" ht="23.45">
      <c r="A1" s="327" t="s">
        <v>130</v>
      </c>
    </row>
    <row r="2" spans="1:16">
      <c r="A2" s="173" t="s">
        <v>57</v>
      </c>
    </row>
    <row r="3" spans="1:16">
      <c r="A3" s="172" t="s">
        <v>131</v>
      </c>
    </row>
    <row r="4" spans="1:16">
      <c r="A4" s="172" t="s">
        <v>132</v>
      </c>
    </row>
    <row r="5" spans="1:16">
      <c r="A5" s="172" t="s">
        <v>133</v>
      </c>
    </row>
    <row r="6" spans="1:16">
      <c r="A6" s="172" t="s">
        <v>134</v>
      </c>
    </row>
    <row r="7" spans="1:16">
      <c r="A7" s="172" t="s">
        <v>135</v>
      </c>
    </row>
    <row r="8" spans="1:16">
      <c r="A8" s="172" t="s">
        <v>136</v>
      </c>
    </row>
    <row r="10" spans="1:16">
      <c r="I10" s="343" t="s">
        <v>17</v>
      </c>
      <c r="J10" s="341"/>
      <c r="K10" s="341"/>
      <c r="L10" s="341"/>
      <c r="M10" s="341"/>
      <c r="N10" s="341"/>
      <c r="O10" s="341"/>
      <c r="P10" s="341"/>
    </row>
    <row r="11" spans="1:16">
      <c r="A11" s="241" t="s">
        <v>137</v>
      </c>
      <c r="I11" s="54"/>
      <c r="J11" s="359" t="s">
        <v>18</v>
      </c>
      <c r="K11" s="359"/>
      <c r="L11" s="359"/>
      <c r="M11" s="359"/>
      <c r="N11" s="359"/>
      <c r="O11" s="359"/>
      <c r="P11" s="359"/>
    </row>
    <row r="12" spans="1:16" ht="126.6">
      <c r="A12" s="366"/>
      <c r="B12" s="367"/>
      <c r="C12" s="317" t="s">
        <v>6</v>
      </c>
      <c r="D12" s="318" t="s">
        <v>7</v>
      </c>
      <c r="E12" s="319" t="s">
        <v>8</v>
      </c>
      <c r="F12" s="320" t="s">
        <v>9</v>
      </c>
      <c r="G12" s="321" t="s">
        <v>10</v>
      </c>
      <c r="H12" s="279" t="s">
        <v>12</v>
      </c>
      <c r="I12" s="54"/>
      <c r="J12" s="336" t="s">
        <v>6</v>
      </c>
      <c r="K12" s="120" t="s">
        <v>7</v>
      </c>
      <c r="L12" s="121" t="s">
        <v>8</v>
      </c>
      <c r="M12" s="122" t="s">
        <v>9</v>
      </c>
      <c r="N12" s="337" t="s">
        <v>10</v>
      </c>
      <c r="O12" s="338" t="s">
        <v>11</v>
      </c>
      <c r="P12" s="80" t="s">
        <v>19</v>
      </c>
    </row>
    <row r="13" spans="1:16" ht="14.1" customHeight="1">
      <c r="A13" s="280" t="s">
        <v>138</v>
      </c>
      <c r="B13" s="281"/>
      <c r="C13" s="282">
        <f>'Ex 3-extent account'!D5</f>
        <v>20</v>
      </c>
      <c r="D13" s="282">
        <f>'Ex 3-extent account'!E5</f>
        <v>153</v>
      </c>
      <c r="E13" s="282">
        <f>'Ex 3-extent account'!F5</f>
        <v>90</v>
      </c>
      <c r="F13" s="282">
        <f>'Ex 3-extent account'!G5</f>
        <v>19</v>
      </c>
      <c r="G13" s="282">
        <f>'Ex 3-extent account'!H5</f>
        <v>6</v>
      </c>
      <c r="H13" s="282">
        <f>'Ex 3-extent account'!J5</f>
        <v>288</v>
      </c>
      <c r="I13" s="57" t="s">
        <v>20</v>
      </c>
      <c r="J13" s="73"/>
      <c r="K13" s="73"/>
      <c r="L13" s="73"/>
      <c r="M13" s="73"/>
      <c r="N13" s="73"/>
      <c r="O13" s="73"/>
      <c r="P13" s="80"/>
    </row>
    <row r="14" spans="1:16">
      <c r="A14" s="280" t="s">
        <v>139</v>
      </c>
      <c r="B14" s="281"/>
      <c r="C14" s="282">
        <f>'Ex 3-extent account'!D8</f>
        <v>23</v>
      </c>
      <c r="D14" s="282">
        <f>'Ex 3-extent account'!E8</f>
        <v>145</v>
      </c>
      <c r="E14" s="282">
        <f>'Ex 3-extent account'!F8</f>
        <v>96</v>
      </c>
      <c r="F14" s="282">
        <f>'Ex 3-extent account'!G8</f>
        <v>19</v>
      </c>
      <c r="G14" s="282">
        <f>'Ex 3-extent account'!H8</f>
        <v>5</v>
      </c>
      <c r="H14" s="282">
        <f>'Ex 3-extent account'!J8</f>
        <v>288</v>
      </c>
      <c r="I14" s="344" t="s">
        <v>6</v>
      </c>
      <c r="J14" s="161">
        <v>20</v>
      </c>
      <c r="K14" s="161">
        <v>0</v>
      </c>
      <c r="L14" s="161">
        <v>0</v>
      </c>
      <c r="M14" s="161">
        <v>0</v>
      </c>
      <c r="N14" s="161">
        <v>0</v>
      </c>
      <c r="O14" s="161">
        <v>0</v>
      </c>
      <c r="P14" s="345">
        <f t="shared" ref="P14:P19" si="0">SUM(J14:O14)</f>
        <v>20</v>
      </c>
    </row>
    <row r="15" spans="1:16" ht="17.100000000000001" customHeight="1">
      <c r="A15" s="280"/>
      <c r="B15" s="281"/>
      <c r="C15" s="282"/>
      <c r="D15" s="282"/>
      <c r="E15" s="282"/>
      <c r="F15" s="282"/>
      <c r="G15" s="282"/>
      <c r="H15" s="283"/>
      <c r="I15" s="61" t="s">
        <v>7</v>
      </c>
      <c r="J15" s="161">
        <v>3</v>
      </c>
      <c r="K15" s="161">
        <v>142</v>
      </c>
      <c r="L15" s="161">
        <v>8</v>
      </c>
      <c r="M15" s="161">
        <v>0</v>
      </c>
      <c r="N15" s="161">
        <v>0</v>
      </c>
      <c r="O15" s="161">
        <v>0</v>
      </c>
      <c r="P15" s="345">
        <f t="shared" si="0"/>
        <v>153</v>
      </c>
    </row>
    <row r="16" spans="1:16">
      <c r="A16" s="364" t="s">
        <v>140</v>
      </c>
      <c r="B16" s="365"/>
      <c r="C16" s="284">
        <f>C13*'Carbon - lookup table'!B3</f>
        <v>100</v>
      </c>
      <c r="D16" s="284">
        <f>D13*'Carbon - lookup table'!B4</f>
        <v>6120</v>
      </c>
      <c r="E16" s="284">
        <f>E13*'Carbon - lookup table'!B6</f>
        <v>18000</v>
      </c>
      <c r="F16" s="284">
        <v>0</v>
      </c>
      <c r="G16" s="284">
        <f>G13*'Carbon - lookup table'!B9</f>
        <v>1800</v>
      </c>
      <c r="H16" s="285">
        <f t="shared" ref="H16:H22" si="1">SUM(C16:G16)</f>
        <v>26020</v>
      </c>
      <c r="I16" s="62" t="s">
        <v>8</v>
      </c>
      <c r="J16" s="161">
        <v>0</v>
      </c>
      <c r="K16" s="161">
        <v>2</v>
      </c>
      <c r="L16" s="161">
        <v>88</v>
      </c>
      <c r="M16" s="161">
        <v>0</v>
      </c>
      <c r="N16" s="161">
        <v>0</v>
      </c>
      <c r="O16" s="161">
        <v>0</v>
      </c>
      <c r="P16" s="345">
        <f t="shared" si="0"/>
        <v>90</v>
      </c>
    </row>
    <row r="17" spans="1:16">
      <c r="A17" s="368" t="s">
        <v>141</v>
      </c>
      <c r="B17" s="369"/>
      <c r="C17" s="254">
        <f>'Ex 2-change matrix'!D7*'Carbon - lookup table'!C3</f>
        <v>20</v>
      </c>
      <c r="D17" s="254">
        <f>'Ex 2-change matrix'!E8*'Carbon - lookup table'!C4</f>
        <v>568</v>
      </c>
      <c r="E17" s="254">
        <f>'Ex 2-change matrix'!F9*'Carbon - lookup table'!C6</f>
        <v>1320</v>
      </c>
      <c r="F17" s="254">
        <v>0</v>
      </c>
      <c r="G17" s="254">
        <f>'Ex 2-change matrix'!H11*'Carbon - lookup table'!C9</f>
        <v>120</v>
      </c>
      <c r="H17" s="285">
        <f t="shared" si="1"/>
        <v>2028</v>
      </c>
      <c r="I17" s="63" t="s">
        <v>9</v>
      </c>
      <c r="J17" s="161">
        <v>0</v>
      </c>
      <c r="K17" s="161">
        <v>0</v>
      </c>
      <c r="L17" s="161">
        <v>0</v>
      </c>
      <c r="M17" s="161">
        <v>19</v>
      </c>
      <c r="N17" s="161">
        <v>0</v>
      </c>
      <c r="O17" s="161">
        <v>0</v>
      </c>
      <c r="P17" s="345">
        <f t="shared" si="0"/>
        <v>19</v>
      </c>
    </row>
    <row r="18" spans="1:16">
      <c r="A18" s="286" t="s">
        <v>142</v>
      </c>
      <c r="B18" s="287"/>
      <c r="C18" s="254">
        <f>'Ex 3-extent account'!D6*'Carbon - lookup table'!B3</f>
        <v>15</v>
      </c>
      <c r="D18" s="254">
        <f>'Ex 3-extent account'!E6*'Carbon - lookup table'!B4</f>
        <v>120</v>
      </c>
      <c r="E18" s="254">
        <f>'Ex 3-extent account'!F6*'Carbon - lookup table'!B6</f>
        <v>1600</v>
      </c>
      <c r="F18" s="254">
        <f>'Ex 3-extent account'!G6</f>
        <v>0</v>
      </c>
      <c r="G18" s="254">
        <f>'Ex 3-extent account'!H6*'Carbon - lookup table'!B9</f>
        <v>0</v>
      </c>
      <c r="H18" s="285">
        <f t="shared" si="1"/>
        <v>1735</v>
      </c>
      <c r="I18" s="66" t="s">
        <v>10</v>
      </c>
      <c r="J18" s="161">
        <v>0</v>
      </c>
      <c r="K18" s="161">
        <v>1</v>
      </c>
      <c r="L18" s="161">
        <v>0</v>
      </c>
      <c r="M18" s="161">
        <v>0</v>
      </c>
      <c r="N18" s="161">
        <v>5</v>
      </c>
      <c r="O18" s="161">
        <v>0</v>
      </c>
      <c r="P18" s="345">
        <f t="shared" si="0"/>
        <v>6</v>
      </c>
    </row>
    <row r="19" spans="1:16">
      <c r="A19" s="368" t="s">
        <v>143</v>
      </c>
      <c r="B19" s="369"/>
      <c r="C19" s="254">
        <v>0</v>
      </c>
      <c r="D19" s="254">
        <v>0</v>
      </c>
      <c r="E19" s="254">
        <v>760</v>
      </c>
      <c r="F19" s="254">
        <v>0</v>
      </c>
      <c r="G19" s="254">
        <v>0</v>
      </c>
      <c r="H19" s="285">
        <f t="shared" si="1"/>
        <v>760</v>
      </c>
      <c r="I19" s="75" t="s">
        <v>11</v>
      </c>
      <c r="J19" s="161">
        <v>0</v>
      </c>
      <c r="K19" s="161">
        <v>0</v>
      </c>
      <c r="L19" s="161">
        <v>0</v>
      </c>
      <c r="M19" s="161">
        <v>0</v>
      </c>
      <c r="N19" s="161">
        <v>0</v>
      </c>
      <c r="O19" s="161">
        <v>0</v>
      </c>
      <c r="P19" s="345">
        <f t="shared" si="0"/>
        <v>0</v>
      </c>
    </row>
    <row r="20" spans="1:16">
      <c r="A20" s="286" t="s">
        <v>144</v>
      </c>
      <c r="B20" s="287"/>
      <c r="C20" s="254">
        <f>'Ex 3-extent account'!D7*'Carbon - lookup table'!B3</f>
        <v>0</v>
      </c>
      <c r="D20" s="254">
        <f>'Ex 3-extent account'!E7*'Carbon - lookup table'!B4</f>
        <v>440</v>
      </c>
      <c r="E20" s="254">
        <f>'Ex 3-extent account'!F7*'Carbon - lookup table'!B6</f>
        <v>400</v>
      </c>
      <c r="F20" s="254">
        <f>'Ex 3-extent account'!G7</f>
        <v>0</v>
      </c>
      <c r="G20" s="254">
        <f>'Ex 3-extent account'!H7*'Carbon - lookup table'!B9</f>
        <v>300</v>
      </c>
      <c r="H20" s="285">
        <f t="shared" si="1"/>
        <v>1140</v>
      </c>
      <c r="I20" s="59" t="s">
        <v>21</v>
      </c>
      <c r="J20" s="165">
        <f t="shared" ref="J20:P20" si="2">SUM(J14:J19)</f>
        <v>23</v>
      </c>
      <c r="K20" s="165">
        <f t="shared" si="2"/>
        <v>145</v>
      </c>
      <c r="L20" s="165">
        <f t="shared" si="2"/>
        <v>96</v>
      </c>
      <c r="M20" s="165">
        <f t="shared" si="2"/>
        <v>19</v>
      </c>
      <c r="N20" s="165">
        <f t="shared" si="2"/>
        <v>5</v>
      </c>
      <c r="O20" s="165">
        <f t="shared" si="2"/>
        <v>0</v>
      </c>
      <c r="P20" s="345">
        <f t="shared" si="2"/>
        <v>288</v>
      </c>
    </row>
    <row r="21" spans="1:16">
      <c r="A21" s="362" t="s">
        <v>145</v>
      </c>
      <c r="B21" s="363"/>
      <c r="C21" s="288">
        <f>C17+C18-C19-C20</f>
        <v>35</v>
      </c>
      <c r="D21" s="288">
        <f>D17+D18-D19-D20</f>
        <v>248</v>
      </c>
      <c r="E21" s="288">
        <f t="shared" ref="E21:G21" si="3">E17+E18-E19-E20</f>
        <v>1760</v>
      </c>
      <c r="F21" s="288">
        <f t="shared" si="3"/>
        <v>0</v>
      </c>
      <c r="G21" s="288">
        <f t="shared" si="3"/>
        <v>-180</v>
      </c>
      <c r="H21" s="289">
        <f t="shared" si="1"/>
        <v>1863</v>
      </c>
    </row>
    <row r="22" spans="1:16">
      <c r="A22" s="364" t="s">
        <v>146</v>
      </c>
      <c r="B22" s="365"/>
      <c r="C22" s="284">
        <f>C16+C21</f>
        <v>135</v>
      </c>
      <c r="D22" s="284">
        <f t="shared" ref="D22:G22" si="4">D16+D21</f>
        <v>6368</v>
      </c>
      <c r="E22" s="284">
        <f>E16+E21</f>
        <v>19760</v>
      </c>
      <c r="F22" s="284">
        <f t="shared" si="4"/>
        <v>0</v>
      </c>
      <c r="G22" s="284">
        <f t="shared" si="4"/>
        <v>1620</v>
      </c>
      <c r="H22" s="285">
        <f t="shared" si="1"/>
        <v>27883</v>
      </c>
      <c r="I22" s="290"/>
    </row>
    <row r="23" spans="1:16">
      <c r="C23" s="290"/>
      <c r="D23" s="290"/>
      <c r="E23" s="290"/>
      <c r="F23" s="290"/>
      <c r="G23" s="290"/>
      <c r="H23" s="290"/>
    </row>
  </sheetData>
  <mergeCells count="7">
    <mergeCell ref="J11:P11"/>
    <mergeCell ref="A21:B21"/>
    <mergeCell ref="A22:B22"/>
    <mergeCell ref="A12:B12"/>
    <mergeCell ref="A16:B16"/>
    <mergeCell ref="A17:B17"/>
    <mergeCell ref="A19:B19"/>
  </mergeCells>
  <conditionalFormatting sqref="C13:H22">
    <cfRule type="expression" dxfId="5" priority="4">
      <formula>Answers=1</formula>
    </cfRule>
  </conditionalFormatting>
  <conditionalFormatting sqref="J14:P20">
    <cfRule type="expression" dxfId="4" priority="1">
      <formula>Answers=1</formula>
    </cfRule>
  </conditionalFormatting>
  <pageMargins left="0.70866141732283472" right="0.70866141732283472" top="0.74803149606299213" bottom="0.74803149606299213" header="0.31496062992125984" footer="0.31496062992125984"/>
  <pageSetup paperSize="9" fitToHeight="0" orientation="landscape" r:id="rId1"/>
  <headerFooter>
    <oddFooter>&amp;L&amp;P&amp;CESCAP&amp;RSEEA Training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29"/>
  <sheetViews>
    <sheetView showGridLines="0" tabSelected="1" topLeftCell="A2" workbookViewId="0">
      <selection activeCell="V20" sqref="V20"/>
    </sheetView>
  </sheetViews>
  <sheetFormatPr defaultColWidth="9.28515625" defaultRowHeight="14.45"/>
  <cols>
    <col min="1" max="1" width="5.28515625" style="3" customWidth="1"/>
    <col min="2" max="17" width="3.5703125" style="3" customWidth="1"/>
    <col min="18" max="18" width="9.28515625" style="3"/>
    <col min="19" max="19" width="24.7109375" style="3" customWidth="1"/>
    <col min="20" max="16384" width="9.28515625" style="3"/>
  </cols>
  <sheetData>
    <row r="1" spans="1:21" ht="21">
      <c r="A1" s="328" t="s">
        <v>147</v>
      </c>
      <c r="B1" s="55"/>
    </row>
    <row r="2" spans="1:21" ht="14.25" customHeight="1">
      <c r="B2" s="174" t="s">
        <v>63</v>
      </c>
      <c r="D2"/>
      <c r="E2"/>
      <c r="F2"/>
      <c r="G2"/>
      <c r="H2"/>
      <c r="I2"/>
      <c r="J2"/>
      <c r="K2"/>
      <c r="L2"/>
      <c r="M2"/>
      <c r="N2"/>
    </row>
    <row r="3" spans="1:21">
      <c r="B3" s="175" t="s">
        <v>148</v>
      </c>
      <c r="D3"/>
      <c r="E3"/>
      <c r="F3"/>
      <c r="G3"/>
      <c r="H3"/>
      <c r="I3"/>
      <c r="J3"/>
      <c r="K3"/>
      <c r="L3"/>
      <c r="M3"/>
      <c r="N3"/>
    </row>
    <row r="4" spans="1:21">
      <c r="B4" s="175" t="s">
        <v>149</v>
      </c>
      <c r="D4"/>
      <c r="E4"/>
      <c r="F4"/>
      <c r="G4"/>
      <c r="H4"/>
      <c r="I4"/>
      <c r="J4"/>
      <c r="K4"/>
      <c r="L4"/>
      <c r="M4"/>
      <c r="N4"/>
    </row>
    <row r="5" spans="1:21">
      <c r="B5" s="175" t="s">
        <v>150</v>
      </c>
      <c r="D5"/>
      <c r="E5"/>
      <c r="F5"/>
      <c r="G5"/>
      <c r="H5"/>
      <c r="I5"/>
      <c r="J5"/>
      <c r="K5"/>
      <c r="L5"/>
      <c r="M5"/>
      <c r="N5"/>
    </row>
    <row r="6" spans="1:21">
      <c r="B6" s="175" t="s">
        <v>151</v>
      </c>
    </row>
    <row r="7" spans="1:21">
      <c r="B7" s="175" t="s">
        <v>152</v>
      </c>
    </row>
    <row r="9" spans="1:21" ht="15" thickBot="1"/>
    <row r="10" spans="1:21" ht="15.95" thickTop="1">
      <c r="B10" s="2"/>
      <c r="C10" s="2"/>
      <c r="D10" s="32"/>
      <c r="E10" s="30"/>
      <c r="F10" s="30"/>
      <c r="G10" s="9"/>
      <c r="H10" s="9"/>
      <c r="I10" s="9"/>
      <c r="J10" s="9"/>
      <c r="K10" s="10"/>
      <c r="L10" s="10"/>
      <c r="M10" s="10"/>
      <c r="N10" s="10"/>
      <c r="O10" s="10"/>
      <c r="P10" s="10"/>
      <c r="Q10" s="11"/>
      <c r="S10" s="3" t="s">
        <v>29</v>
      </c>
      <c r="T10" s="148">
        <v>170</v>
      </c>
      <c r="U10" s="148">
        <v>190</v>
      </c>
    </row>
    <row r="11" spans="1:21" ht="15.95" thickBot="1">
      <c r="B11" s="2"/>
      <c r="C11" s="2"/>
      <c r="D11" s="6"/>
      <c r="E11" s="5"/>
      <c r="F11" s="5" t="s">
        <v>30</v>
      </c>
      <c r="G11" s="5"/>
      <c r="H11" s="5"/>
      <c r="I11" s="5"/>
      <c r="J11" s="5"/>
      <c r="K11" s="4"/>
      <c r="L11" s="4" t="s">
        <v>31</v>
      </c>
      <c r="M11" s="4"/>
      <c r="N11" s="4"/>
      <c r="O11" s="4"/>
      <c r="P11" s="4"/>
      <c r="Q11" s="12"/>
      <c r="S11" s="3" t="s">
        <v>28</v>
      </c>
      <c r="T11" s="148">
        <v>70</v>
      </c>
      <c r="U11" s="148">
        <v>10</v>
      </c>
    </row>
    <row r="12" spans="1:21" ht="15" customHeight="1" thickTop="1">
      <c r="B12" s="8"/>
      <c r="C12" s="9"/>
      <c r="D12" s="107"/>
      <c r="E12" s="108"/>
      <c r="F12" s="108"/>
      <c r="G12" s="108"/>
      <c r="H12" s="108"/>
      <c r="I12" s="108"/>
      <c r="J12" s="108"/>
      <c r="K12" s="109"/>
      <c r="L12" s="109"/>
      <c r="M12" s="109"/>
      <c r="N12" s="109"/>
      <c r="O12" s="4"/>
      <c r="P12" s="4"/>
      <c r="Q12" s="12"/>
      <c r="S12" s="146" t="s">
        <v>34</v>
      </c>
      <c r="T12" s="147">
        <v>172.5</v>
      </c>
    </row>
    <row r="13" spans="1:21" ht="15.6">
      <c r="B13" s="6"/>
      <c r="C13" s="5"/>
      <c r="D13" s="108"/>
      <c r="E13" s="107"/>
      <c r="F13" s="108"/>
      <c r="G13" s="108"/>
      <c r="H13" s="108"/>
      <c r="I13" s="108"/>
      <c r="J13" s="108"/>
      <c r="K13" s="109"/>
      <c r="L13" s="109"/>
      <c r="M13" s="109"/>
      <c r="N13" s="109"/>
      <c r="O13" s="4"/>
      <c r="P13" s="4"/>
      <c r="Q13" s="12"/>
    </row>
    <row r="14" spans="1:21" ht="15.6">
      <c r="B14" s="6"/>
      <c r="C14" s="5"/>
      <c r="D14" s="108"/>
      <c r="E14" s="108"/>
      <c r="F14" s="107"/>
      <c r="G14" s="108"/>
      <c r="H14" s="108"/>
      <c r="I14" s="108"/>
      <c r="J14" s="108"/>
      <c r="K14" s="109"/>
      <c r="L14" s="109"/>
      <c r="M14" s="109"/>
      <c r="N14" s="109"/>
      <c r="O14" s="4"/>
      <c r="P14" s="4"/>
      <c r="Q14" s="12"/>
      <c r="S14" s="3" t="s">
        <v>153</v>
      </c>
      <c r="T14" s="3">
        <v>150</v>
      </c>
    </row>
    <row r="15" spans="1:21" ht="15.6">
      <c r="B15" s="6" t="s">
        <v>38</v>
      </c>
      <c r="C15" s="5"/>
      <c r="D15" s="108"/>
      <c r="E15" s="108"/>
      <c r="F15" s="108"/>
      <c r="G15" s="107"/>
      <c r="H15" s="108"/>
      <c r="I15" s="108"/>
      <c r="J15" s="108"/>
      <c r="K15" s="109"/>
      <c r="L15" s="109"/>
      <c r="M15" s="109"/>
      <c r="N15" s="109"/>
      <c r="O15" s="4"/>
      <c r="P15" s="4"/>
      <c r="Q15" s="12"/>
    </row>
    <row r="16" spans="1:21" ht="15.6">
      <c r="B16" s="6"/>
      <c r="C16" s="5"/>
      <c r="D16" s="108"/>
      <c r="E16" s="108"/>
      <c r="F16" s="108"/>
      <c r="G16" s="108"/>
      <c r="H16" s="107"/>
      <c r="I16" s="108"/>
      <c r="J16" s="108"/>
      <c r="K16" s="108"/>
      <c r="L16" s="108"/>
      <c r="M16" s="108"/>
      <c r="N16" s="108"/>
      <c r="O16" s="5"/>
      <c r="P16" s="5"/>
      <c r="Q16" s="13"/>
      <c r="S16" s="3" t="s">
        <v>41</v>
      </c>
      <c r="T16" s="136">
        <v>0.86956521739130432</v>
      </c>
    </row>
    <row r="17" spans="2:20" ht="15.6">
      <c r="B17" s="6"/>
      <c r="C17" s="5"/>
      <c r="D17" s="108"/>
      <c r="E17" s="108"/>
      <c r="F17" s="109"/>
      <c r="G17" s="109"/>
      <c r="H17" s="109"/>
      <c r="I17" s="107"/>
      <c r="J17" s="108"/>
      <c r="K17" s="108"/>
      <c r="L17" s="108"/>
      <c r="M17" s="108"/>
      <c r="N17" s="108"/>
      <c r="O17" s="5"/>
      <c r="P17" s="5"/>
      <c r="Q17" s="13"/>
      <c r="S17" s="103" t="s">
        <v>43</v>
      </c>
      <c r="T17" s="147">
        <f>'Ex 5-Services estimation&amp; suppl'!D13</f>
        <v>18700</v>
      </c>
    </row>
    <row r="18" spans="2:20" ht="15.6">
      <c r="B18" s="6"/>
      <c r="C18" s="5"/>
      <c r="D18" s="108"/>
      <c r="E18" s="108"/>
      <c r="F18" s="109" t="s">
        <v>44</v>
      </c>
      <c r="G18" s="109"/>
      <c r="H18" s="109"/>
      <c r="I18" s="107"/>
      <c r="J18" s="108"/>
      <c r="K18" s="108"/>
      <c r="L18" s="108"/>
      <c r="M18" s="108"/>
      <c r="N18" s="108"/>
      <c r="O18" s="5"/>
      <c r="P18" s="5"/>
      <c r="Q18" s="13"/>
      <c r="S18" s="3" t="s">
        <v>46</v>
      </c>
      <c r="T18" s="147">
        <v>233.75</v>
      </c>
    </row>
    <row r="19" spans="2:20" ht="15.6">
      <c r="B19" s="6"/>
      <c r="C19" s="5"/>
      <c r="D19" s="108"/>
      <c r="E19" s="108"/>
      <c r="F19" s="109"/>
      <c r="G19" s="109"/>
      <c r="H19" s="109"/>
      <c r="I19" s="107"/>
      <c r="J19" s="108"/>
      <c r="K19" s="108"/>
      <c r="L19" s="108"/>
      <c r="M19" s="108"/>
      <c r="N19" s="108"/>
      <c r="O19" s="5"/>
      <c r="P19" s="5"/>
      <c r="Q19" s="13"/>
      <c r="S19" s="3" t="s">
        <v>154</v>
      </c>
      <c r="T19" s="147">
        <v>203.26086956521738</v>
      </c>
    </row>
    <row r="20" spans="2:20" ht="15.6">
      <c r="B20" s="6"/>
      <c r="C20" s="5"/>
      <c r="D20" s="108"/>
      <c r="E20" s="108"/>
      <c r="F20" s="109"/>
      <c r="G20" s="109"/>
      <c r="H20" s="109"/>
      <c r="I20" s="107"/>
      <c r="J20" s="110"/>
      <c r="K20" s="110"/>
      <c r="L20" s="110"/>
      <c r="M20" s="108"/>
      <c r="N20" s="108"/>
      <c r="O20" s="5"/>
      <c r="P20" s="5"/>
      <c r="Q20" s="13"/>
      <c r="S20" s="3" t="s">
        <v>155</v>
      </c>
      <c r="T20" s="158">
        <v>9146.7391304347821</v>
      </c>
    </row>
    <row r="21" spans="2:20" ht="15.6">
      <c r="B21" s="6"/>
      <c r="C21" s="5"/>
      <c r="D21" s="108"/>
      <c r="E21" s="110"/>
      <c r="F21" s="110"/>
      <c r="G21" s="110"/>
      <c r="H21" s="110"/>
      <c r="I21" s="107"/>
      <c r="J21" s="110"/>
      <c r="K21" s="110"/>
      <c r="L21" s="110"/>
      <c r="M21" s="108"/>
      <c r="N21" s="108"/>
      <c r="O21" s="5"/>
      <c r="P21" s="5"/>
      <c r="Q21" s="13"/>
    </row>
    <row r="22" spans="2:20" ht="15.6">
      <c r="B22" s="6"/>
      <c r="C22" s="5"/>
      <c r="D22" s="108"/>
      <c r="E22" s="110"/>
      <c r="F22" s="110"/>
      <c r="G22" s="110"/>
      <c r="H22" s="110"/>
      <c r="I22" s="107"/>
      <c r="J22" s="110"/>
      <c r="K22" s="110"/>
      <c r="L22" s="110"/>
      <c r="M22" s="108"/>
      <c r="N22" s="108"/>
      <c r="O22" s="5"/>
      <c r="P22" s="5"/>
      <c r="Q22" s="13"/>
    </row>
    <row r="23" spans="2:20" ht="15.6">
      <c r="B23" s="6"/>
      <c r="C23" s="14"/>
      <c r="D23" s="5"/>
      <c r="E23" s="1"/>
      <c r="F23" s="1"/>
      <c r="G23" s="33"/>
      <c r="H23" s="106"/>
      <c r="I23" s="106"/>
      <c r="J23" s="105"/>
      <c r="K23" s="7"/>
      <c r="L23" s="7"/>
      <c r="M23" s="7"/>
      <c r="N23" s="7"/>
      <c r="O23" s="7"/>
      <c r="P23" s="7"/>
      <c r="Q23" s="15"/>
    </row>
    <row r="24" spans="2:20" ht="15.6">
      <c r="B24" s="16"/>
      <c r="C24" s="4"/>
      <c r="D24" s="4"/>
      <c r="E24" s="4"/>
      <c r="F24" s="4"/>
      <c r="G24" s="17"/>
      <c r="H24" s="106"/>
      <c r="I24" s="106"/>
      <c r="J24" s="18"/>
      <c r="K24" s="5"/>
      <c r="L24" s="5"/>
      <c r="M24" s="5"/>
      <c r="N24" s="5"/>
      <c r="O24" s="5"/>
      <c r="P24" s="5"/>
      <c r="Q24" s="13"/>
    </row>
    <row r="25" spans="2:20" ht="15.95" thickBot="1">
      <c r="B25" s="16"/>
      <c r="C25" s="4" t="s">
        <v>53</v>
      </c>
      <c r="D25" s="4"/>
      <c r="E25" s="4"/>
      <c r="F25" s="4"/>
      <c r="G25" s="17"/>
      <c r="H25" s="106"/>
      <c r="I25" s="106"/>
      <c r="J25" s="18"/>
      <c r="K25" s="5" t="s">
        <v>54</v>
      </c>
      <c r="L25" s="5"/>
      <c r="M25" s="5"/>
      <c r="N25" s="19"/>
      <c r="O25" s="19"/>
      <c r="P25" s="19"/>
      <c r="Q25" s="20"/>
    </row>
    <row r="26" spans="2:20" ht="15.95" thickTop="1">
      <c r="B26" s="16"/>
      <c r="C26" s="4"/>
      <c r="D26" s="4"/>
      <c r="E26" s="4"/>
      <c r="F26" s="4"/>
      <c r="G26" s="4"/>
      <c r="H26" s="21"/>
      <c r="I26" s="21"/>
      <c r="J26" s="5"/>
      <c r="K26" s="5"/>
      <c r="L26" s="5"/>
      <c r="M26" s="22"/>
      <c r="N26" s="23"/>
      <c r="O26" s="24"/>
      <c r="P26" s="24"/>
      <c r="Q26" s="24"/>
    </row>
    <row r="27" spans="2:20" ht="15.6">
      <c r="B27" s="16"/>
      <c r="C27" s="4"/>
      <c r="D27" s="4"/>
      <c r="E27" s="4"/>
      <c r="F27" s="4"/>
      <c r="G27" s="4"/>
      <c r="H27" s="4"/>
      <c r="I27" s="4"/>
      <c r="J27" s="5"/>
      <c r="K27" s="5"/>
      <c r="L27" s="5"/>
      <c r="M27" s="22"/>
      <c r="N27" s="25"/>
      <c r="O27" s="2"/>
      <c r="P27" s="2"/>
      <c r="Q27" s="2"/>
    </row>
    <row r="28" spans="2:20" ht="15.95" thickBot="1">
      <c r="B28" s="26"/>
      <c r="C28" s="27"/>
      <c r="D28" s="27"/>
      <c r="E28" s="27"/>
      <c r="F28" s="27"/>
      <c r="G28" s="27"/>
      <c r="H28" s="27"/>
      <c r="I28" s="27"/>
      <c r="J28" s="28"/>
      <c r="K28" s="28"/>
      <c r="L28" s="28"/>
      <c r="M28" s="29"/>
      <c r="N28" s="25"/>
      <c r="O28" s="2"/>
      <c r="P28" s="2"/>
      <c r="Q28" s="2"/>
    </row>
    <row r="29" spans="2:20" ht="15" thickTop="1"/>
  </sheetData>
  <pageMargins left="0.70866141732283472" right="0.70866141732283472" top="0.74803149606299213" bottom="0.74803149606299213" header="0.31496062992125984" footer="0.31496062992125984"/>
  <pageSetup paperSize="9" scale="94" fitToHeight="0" orientation="landscape" r:id="rId1"/>
  <headerFooter>
    <oddFooter>&amp;L&amp;P&amp;CESCAP&amp;RSEEA Training  2016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5"/>
  <sheetViews>
    <sheetView showGridLines="0" topLeftCell="A11" zoomScaleNormal="100" workbookViewId="0">
      <selection activeCell="K15" sqref="K15"/>
    </sheetView>
  </sheetViews>
  <sheetFormatPr defaultColWidth="9.28515625" defaultRowHeight="14.45"/>
  <cols>
    <col min="1" max="1" width="2.5703125" style="242" customWidth="1"/>
    <col min="2" max="2" width="38.7109375" style="242" customWidth="1"/>
    <col min="3" max="3" width="9.5703125" style="242" customWidth="1"/>
    <col min="4" max="4" width="12.42578125" style="242" customWidth="1"/>
    <col min="5" max="5" width="12.28515625" style="242" customWidth="1"/>
    <col min="6" max="6" width="11.28515625" style="242" customWidth="1"/>
    <col min="7" max="7" width="13.42578125" style="242" customWidth="1"/>
    <col min="8" max="16384" width="9.28515625" style="242"/>
  </cols>
  <sheetData>
    <row r="1" spans="1:12" ht="21">
      <c r="A1" s="328" t="s">
        <v>156</v>
      </c>
      <c r="B1" s="241"/>
    </row>
    <row r="2" spans="1:12">
      <c r="B2" s="173" t="s">
        <v>63</v>
      </c>
    </row>
    <row r="3" spans="1:12">
      <c r="B3" s="172" t="s">
        <v>157</v>
      </c>
    </row>
    <row r="4" spans="1:12">
      <c r="B4" s="172" t="s">
        <v>158</v>
      </c>
    </row>
    <row r="5" spans="1:12">
      <c r="B5" s="172" t="s">
        <v>159</v>
      </c>
      <c r="E5" s="265"/>
    </row>
    <row r="6" spans="1:12">
      <c r="B6" s="172" t="s">
        <v>160</v>
      </c>
      <c r="E6" s="265"/>
    </row>
    <row r="7" spans="1:12">
      <c r="B7" s="172" t="s">
        <v>161</v>
      </c>
    </row>
    <row r="8" spans="1:12">
      <c r="B8" s="172" t="s">
        <v>162</v>
      </c>
    </row>
    <row r="10" spans="1:12">
      <c r="B10" s="241" t="s">
        <v>163</v>
      </c>
    </row>
    <row r="11" spans="1:12" ht="29.1">
      <c r="B11" s="372" t="s">
        <v>164</v>
      </c>
      <c r="C11" s="370" t="s">
        <v>76</v>
      </c>
      <c r="D11" s="243" t="s">
        <v>165</v>
      </c>
      <c r="E11" s="243" t="s">
        <v>166</v>
      </c>
      <c r="F11" s="243" t="s">
        <v>167</v>
      </c>
      <c r="G11" s="243" t="s">
        <v>168</v>
      </c>
    </row>
    <row r="12" spans="1:12" ht="29.1">
      <c r="B12" s="372"/>
      <c r="C12" s="371"/>
      <c r="D12" s="243" t="s">
        <v>169</v>
      </c>
      <c r="E12" s="243" t="s">
        <v>170</v>
      </c>
      <c r="F12" s="243" t="s">
        <v>171</v>
      </c>
      <c r="G12" s="243" t="s">
        <v>172</v>
      </c>
    </row>
    <row r="13" spans="1:12">
      <c r="B13" s="85" t="s">
        <v>173</v>
      </c>
      <c r="C13" s="244">
        <f>'Ex 1-Units'!T5</f>
        <v>80</v>
      </c>
      <c r="D13" s="245">
        <v>18700</v>
      </c>
      <c r="E13" s="245">
        <v>500</v>
      </c>
      <c r="F13" s="245">
        <v>0</v>
      </c>
      <c r="G13" s="246">
        <v>0</v>
      </c>
    </row>
    <row r="14" spans="1:12">
      <c r="B14" s="62" t="s">
        <v>174</v>
      </c>
      <c r="C14" s="244">
        <f>'Ex 1-Units'!T6</f>
        <v>42</v>
      </c>
      <c r="D14" s="245">
        <v>0</v>
      </c>
      <c r="E14" s="245">
        <v>1500</v>
      </c>
      <c r="F14" s="245">
        <v>0</v>
      </c>
      <c r="G14" s="246">
        <f>'Carbon - lookup table'!X26</f>
        <v>270</v>
      </c>
      <c r="H14" s="248"/>
      <c r="I14" s="248"/>
      <c r="J14" s="248"/>
      <c r="K14" s="248"/>
      <c r="L14" s="248"/>
    </row>
    <row r="15" spans="1:12">
      <c r="B15" s="63" t="s">
        <v>83</v>
      </c>
      <c r="C15" s="244">
        <f>'Ex 1-Units'!T7</f>
        <v>11</v>
      </c>
      <c r="D15" s="245">
        <v>0</v>
      </c>
      <c r="E15" s="245">
        <v>1600</v>
      </c>
      <c r="F15" s="245">
        <v>15000</v>
      </c>
      <c r="G15" s="246">
        <v>0</v>
      </c>
      <c r="H15" s="248"/>
      <c r="I15" s="250">
        <v>0.3</v>
      </c>
      <c r="J15" s="251">
        <v>0.7</v>
      </c>
      <c r="K15" s="248">
        <f>I15*F15</f>
        <v>4500</v>
      </c>
      <c r="L15" s="248">
        <f>F15*J15</f>
        <v>10500</v>
      </c>
    </row>
    <row r="16" spans="1:12">
      <c r="B16" s="61" t="s">
        <v>175</v>
      </c>
      <c r="C16" s="244">
        <f>'Ex 1-Units'!T8</f>
        <v>45</v>
      </c>
      <c r="D16" s="253">
        <f>'Ex 1-Units'!W14</f>
        <v>9146.7391304347821</v>
      </c>
      <c r="E16" s="254">
        <f>E13/C13*C16</f>
        <v>281.25</v>
      </c>
      <c r="F16" s="254">
        <v>0</v>
      </c>
      <c r="G16" s="246">
        <v>0</v>
      </c>
      <c r="H16" s="248"/>
      <c r="I16" s="248"/>
      <c r="J16" s="248"/>
      <c r="K16" s="248"/>
      <c r="L16" s="248"/>
    </row>
    <row r="17" spans="1:13">
      <c r="B17" s="62" t="s">
        <v>176</v>
      </c>
      <c r="C17" s="244">
        <f>'Ex 1-Units'!T9</f>
        <v>12</v>
      </c>
      <c r="D17" s="255">
        <v>0</v>
      </c>
      <c r="E17" s="254">
        <f>E14/C14*C17</f>
        <v>428.57142857142856</v>
      </c>
      <c r="F17" s="254">
        <v>0</v>
      </c>
      <c r="G17" s="246">
        <f>'Carbon - lookup table'!X27</f>
        <v>1380</v>
      </c>
      <c r="H17" s="248"/>
      <c r="I17" s="248"/>
      <c r="J17" s="248"/>
      <c r="K17" s="248"/>
      <c r="L17" s="248"/>
    </row>
    <row r="18" spans="1:13">
      <c r="B18" s="64" t="s">
        <v>40</v>
      </c>
      <c r="C18" s="244">
        <f>'Ex 1-Units'!T10</f>
        <v>9</v>
      </c>
      <c r="D18" s="245">
        <v>0</v>
      </c>
      <c r="E18" s="245">
        <v>500</v>
      </c>
      <c r="F18" s="245">
        <v>0</v>
      </c>
      <c r="G18" s="246">
        <v>0</v>
      </c>
      <c r="H18" s="248"/>
      <c r="I18" s="248"/>
      <c r="J18" s="248"/>
      <c r="K18" s="248"/>
      <c r="L18" s="248"/>
    </row>
    <row r="19" spans="1:13">
      <c r="A19" s="256"/>
      <c r="B19" s="64" t="s">
        <v>177</v>
      </c>
      <c r="C19" s="244">
        <f>'Ex 1-Units'!T11</f>
        <v>11</v>
      </c>
      <c r="D19" s="245">
        <v>0</v>
      </c>
      <c r="E19" s="245">
        <v>700</v>
      </c>
      <c r="F19" s="245">
        <v>0</v>
      </c>
      <c r="G19" s="246">
        <v>0</v>
      </c>
      <c r="H19" s="248"/>
      <c r="I19" s="248"/>
      <c r="J19" s="248"/>
      <c r="K19" s="248"/>
      <c r="L19" s="248"/>
    </row>
    <row r="20" spans="1:13">
      <c r="A20" s="256"/>
      <c r="B20" s="66" t="s">
        <v>84</v>
      </c>
      <c r="C20" s="244">
        <f>'Ex 1-Units'!T12</f>
        <v>6</v>
      </c>
      <c r="D20" s="245">
        <v>700</v>
      </c>
      <c r="E20" s="245">
        <v>5000</v>
      </c>
      <c r="F20" s="245">
        <v>0</v>
      </c>
      <c r="G20" s="246">
        <v>0</v>
      </c>
      <c r="H20" s="248"/>
      <c r="I20" s="248"/>
      <c r="J20" s="248"/>
      <c r="K20" s="248"/>
      <c r="L20" s="248"/>
    </row>
    <row r="21" spans="1:13">
      <c r="A21" s="256"/>
      <c r="B21" s="63" t="s">
        <v>86</v>
      </c>
      <c r="C21" s="244">
        <f>'Ex 1-Units'!T13</f>
        <v>8</v>
      </c>
      <c r="D21" s="254">
        <v>0</v>
      </c>
      <c r="E21" s="254">
        <f>E15/C15*C21</f>
        <v>1163.6363636363637</v>
      </c>
      <c r="F21" s="254">
        <f>F15/C15*C21</f>
        <v>10909.09090909091</v>
      </c>
      <c r="G21" s="246">
        <v>0</v>
      </c>
      <c r="H21" s="248"/>
      <c r="I21" s="251">
        <v>0.5</v>
      </c>
      <c r="J21" s="251">
        <v>0.5</v>
      </c>
      <c r="K21" s="248">
        <f>I21*F21</f>
        <v>5454.545454545455</v>
      </c>
      <c r="L21" s="248">
        <f>F21*J21</f>
        <v>5454.545454545455</v>
      </c>
    </row>
    <row r="22" spans="1:13">
      <c r="A22" s="256"/>
      <c r="B22" s="62" t="s">
        <v>178</v>
      </c>
      <c r="C22" s="244">
        <f>'Ex 1-Units'!T14</f>
        <v>36</v>
      </c>
      <c r="D22" s="254">
        <v>0</v>
      </c>
      <c r="E22" s="254">
        <f>E14/C14*C22</f>
        <v>1285.7142857142858</v>
      </c>
      <c r="F22" s="254">
        <v>0</v>
      </c>
      <c r="G22" s="246">
        <f>'Carbon - lookup table'!X28</f>
        <v>110</v>
      </c>
      <c r="H22" s="248"/>
      <c r="I22" s="248"/>
      <c r="J22" s="248"/>
      <c r="K22" s="248"/>
      <c r="L22" s="248"/>
    </row>
    <row r="23" spans="1:13" ht="15" thickBot="1">
      <c r="B23" s="67" t="s">
        <v>179</v>
      </c>
      <c r="C23" s="244">
        <f>'Ex 1-Units'!T15</f>
        <v>28</v>
      </c>
      <c r="D23" s="257">
        <f>D13/C13*C23</f>
        <v>6545</v>
      </c>
      <c r="E23" s="257">
        <f>E13/C13*C23</f>
        <v>175</v>
      </c>
      <c r="F23" s="257">
        <v>0</v>
      </c>
      <c r="G23" s="258">
        <v>0</v>
      </c>
      <c r="H23" s="248"/>
      <c r="I23" s="248"/>
      <c r="J23" s="248"/>
      <c r="K23" s="248"/>
      <c r="L23" s="248"/>
    </row>
    <row r="24" spans="1:13" ht="15" thickBot="1">
      <c r="B24" s="259" t="s">
        <v>12</v>
      </c>
      <c r="C24" s="260">
        <f>SUM(C13:C23)</f>
        <v>288</v>
      </c>
      <c r="D24" s="261">
        <f>SUM(D13:D23)</f>
        <v>35091.739130434784</v>
      </c>
      <c r="E24" s="261">
        <f>SUM(E13:E23)</f>
        <v>13134.172077922078</v>
      </c>
      <c r="F24" s="261">
        <f>SUM(F13:F23)</f>
        <v>25909.090909090912</v>
      </c>
      <c r="G24" s="262">
        <f>SUM(G13:G23)</f>
        <v>1760</v>
      </c>
      <c r="H24" s="248"/>
      <c r="I24" s="248"/>
      <c r="J24" s="248"/>
      <c r="K24" s="263">
        <f>SUM(K15:K23)</f>
        <v>9954.5454545454559</v>
      </c>
      <c r="L24" s="248"/>
    </row>
    <row r="25" spans="1:13">
      <c r="C25" s="256"/>
      <c r="D25" s="264"/>
      <c r="E25" s="264"/>
      <c r="F25" s="264"/>
    </row>
    <row r="26" spans="1:13">
      <c r="H26" s="248"/>
      <c r="I26" s="248"/>
      <c r="J26" s="248"/>
      <c r="K26" s="248"/>
      <c r="L26" s="248"/>
      <c r="M26" s="248"/>
    </row>
    <row r="27" spans="1:13">
      <c r="B27" s="241" t="s">
        <v>180</v>
      </c>
      <c r="H27" s="248"/>
      <c r="I27" s="248"/>
      <c r="J27" s="248"/>
      <c r="K27" s="248"/>
      <c r="L27" s="248"/>
      <c r="M27" s="248"/>
    </row>
    <row r="28" spans="1:13" ht="29.1">
      <c r="B28" s="373" t="s">
        <v>181</v>
      </c>
      <c r="C28" s="370" t="s">
        <v>76</v>
      </c>
      <c r="D28" s="243" t="s">
        <v>182</v>
      </c>
      <c r="E28" s="243" t="s">
        <v>166</v>
      </c>
      <c r="F28" s="243" t="s">
        <v>183</v>
      </c>
      <c r="G28" s="266" t="s">
        <v>168</v>
      </c>
      <c r="H28" s="248"/>
      <c r="I28" s="248"/>
      <c r="J28" s="248"/>
      <c r="K28" s="248"/>
      <c r="L28" s="248"/>
      <c r="M28" s="248"/>
    </row>
    <row r="29" spans="1:13" ht="16.5">
      <c r="B29" s="374"/>
      <c r="C29" s="371"/>
      <c r="D29" s="266" t="s">
        <v>184</v>
      </c>
      <c r="E29" s="266" t="s">
        <v>185</v>
      </c>
      <c r="F29" s="266" t="s">
        <v>186</v>
      </c>
      <c r="G29" s="267" t="s">
        <v>187</v>
      </c>
      <c r="H29" s="248"/>
      <c r="I29" s="248"/>
      <c r="J29" s="248"/>
      <c r="K29" s="248"/>
      <c r="L29" s="248"/>
      <c r="M29" s="248"/>
    </row>
    <row r="30" spans="1:13">
      <c r="B30" s="268" t="s">
        <v>6</v>
      </c>
      <c r="C30" s="269">
        <f>'Ex 5-Services estimation&amp; suppl'!C18+'Ex 5-Services estimation&amp; suppl'!C19</f>
        <v>20</v>
      </c>
      <c r="D30" s="270">
        <f>('Ex 5-Services estimation&amp; suppl'!D18+'Ex 5-Services estimation&amp; suppl'!D19)</f>
        <v>0</v>
      </c>
      <c r="E30" s="270">
        <f>('Ex 5-Services estimation&amp; suppl'!E18+'Ex 5-Services estimation&amp; suppl'!E19)</f>
        <v>1200</v>
      </c>
      <c r="F30" s="270">
        <f>('Ex 5-Services estimation&amp; suppl'!F18+'Ex 5-Services estimation&amp; suppl'!F19)</f>
        <v>0</v>
      </c>
      <c r="G30" s="270">
        <f>('Ex 5-Services estimation&amp; suppl'!G18+'Ex 5-Services estimation&amp; suppl'!G19)</f>
        <v>0</v>
      </c>
    </row>
    <row r="31" spans="1:13">
      <c r="B31" s="252" t="s">
        <v>7</v>
      </c>
      <c r="C31" s="269">
        <f>'Ex 5-Services estimation&amp; suppl'!C13+'Ex 5-Services estimation&amp; suppl'!C16+'Ex 5-Services estimation&amp; suppl'!C23</f>
        <v>153</v>
      </c>
      <c r="D31" s="271">
        <f>('Ex 5-Services estimation&amp; suppl'!D13+'Ex 5-Services estimation&amp; suppl'!D16+'Ex 5-Services estimation&amp; suppl'!D23)</f>
        <v>34391.739130434784</v>
      </c>
      <c r="E31" s="270">
        <f>('Ex 5-Services estimation&amp; suppl'!E13+'Ex 5-Services estimation&amp; suppl'!E16+'Ex 5-Services estimation&amp; suppl'!E23)</f>
        <v>956.25</v>
      </c>
      <c r="F31" s="270">
        <f>('Ex 5-Services estimation&amp; suppl'!F13+'Ex 5-Services estimation&amp; suppl'!F16+'Ex 5-Services estimation&amp; suppl'!F23)</f>
        <v>0</v>
      </c>
      <c r="G31" s="271">
        <f>('Ex 5-Services estimation&amp; suppl'!G13+'Ex 5-Services estimation&amp; suppl'!G16+'Ex 5-Services estimation&amp; suppl'!G23)</f>
        <v>0</v>
      </c>
    </row>
    <row r="32" spans="1:13">
      <c r="B32" s="247" t="s">
        <v>8</v>
      </c>
      <c r="C32" s="269">
        <f>'Ex 5-Services estimation&amp; suppl'!C14+'Ex 5-Services estimation&amp; suppl'!C17+'Ex 5-Services estimation&amp; suppl'!C22</f>
        <v>90</v>
      </c>
      <c r="D32" s="272">
        <f>('Ex 5-Services estimation&amp; suppl'!D14+'Ex 5-Services estimation&amp; suppl'!D17+'Ex 5-Services estimation&amp; suppl'!D22)</f>
        <v>0</v>
      </c>
      <c r="E32" s="273">
        <f>('Ex 5-Services estimation&amp; suppl'!E14+'Ex 5-Services estimation&amp; suppl'!E17+'Ex 5-Services estimation&amp; suppl'!E22)</f>
        <v>3214.2857142857142</v>
      </c>
      <c r="F32" s="272">
        <f>('Ex 5-Services estimation&amp; suppl'!F14+'Ex 5-Services estimation&amp; suppl'!F17+'Ex 5-Services estimation&amp; suppl'!F22)</f>
        <v>0</v>
      </c>
      <c r="G32" s="272">
        <f>('Ex 5-Services estimation&amp; suppl'!G14+'Ex 5-Services estimation&amp; suppl'!G17+'Ex 5-Services estimation&amp; suppl'!G22)</f>
        <v>1760</v>
      </c>
    </row>
    <row r="33" spans="2:7">
      <c r="B33" s="249" t="s">
        <v>9</v>
      </c>
      <c r="C33" s="269">
        <f>'Ex 5-Services estimation&amp; suppl'!C21+'Ex 5-Services estimation&amp; suppl'!C15</f>
        <v>19</v>
      </c>
      <c r="D33" s="270">
        <f>'Ex 5-Services estimation&amp; suppl'!D21</f>
        <v>0</v>
      </c>
      <c r="E33" s="270">
        <f>'Ex 5-Services estimation&amp; suppl'!E21+'Ex 5-Services estimation&amp; suppl'!E15</f>
        <v>2763.636363636364</v>
      </c>
      <c r="F33" s="271">
        <f>('Ex 5-Services estimation&amp; suppl'!F21+'Ex 5-Services estimation&amp; suppl'!F15)</f>
        <v>25909.090909090912</v>
      </c>
      <c r="G33" s="270">
        <f>('Ex 5-Services estimation&amp; suppl'!G21+'Ex 5-Services estimation&amp; suppl'!G15)</f>
        <v>0</v>
      </c>
    </row>
    <row r="34" spans="2:7">
      <c r="B34" s="274" t="s">
        <v>10</v>
      </c>
      <c r="C34" s="275">
        <f>'Ex 5-Services estimation&amp; suppl'!C20</f>
        <v>6</v>
      </c>
      <c r="D34" s="276">
        <f>'Ex 5-Services estimation&amp; suppl'!D20</f>
        <v>700</v>
      </c>
      <c r="E34" s="276">
        <f>'Ex 5-Services estimation&amp; suppl'!E20</f>
        <v>5000</v>
      </c>
      <c r="F34" s="276">
        <f>'Ex 5-Services estimation&amp; suppl'!F20</f>
        <v>0</v>
      </c>
      <c r="G34" s="276">
        <f>'Ex 5-Services estimation&amp; suppl'!G20</f>
        <v>0</v>
      </c>
    </row>
    <row r="35" spans="2:7">
      <c r="B35" s="277" t="s">
        <v>12</v>
      </c>
      <c r="C35" s="278">
        <f>SUM(C30:C34)</f>
        <v>288</v>
      </c>
      <c r="D35" s="271">
        <f>SUM(D30:D34)</f>
        <v>35091.739130434784</v>
      </c>
      <c r="E35" s="271">
        <f>SUM(E30:E34)</f>
        <v>13134.172077922078</v>
      </c>
      <c r="F35" s="271">
        <f>SUM(F30:F34)</f>
        <v>25909.090909090912</v>
      </c>
      <c r="G35" s="271">
        <f>SUM(G30:G34)</f>
        <v>1760</v>
      </c>
    </row>
  </sheetData>
  <mergeCells count="4">
    <mergeCell ref="C11:C12"/>
    <mergeCell ref="B11:B12"/>
    <mergeCell ref="C28:C29"/>
    <mergeCell ref="B28:B29"/>
  </mergeCells>
  <conditionalFormatting sqref="D21:F24 G13:G24 D16:D17 F16:F17">
    <cfRule type="expression" dxfId="3" priority="4">
      <formula>Answers=1</formula>
    </cfRule>
  </conditionalFormatting>
  <conditionalFormatting sqref="E16:E17">
    <cfRule type="expression" dxfId="2" priority="1">
      <formula>Answers=1</formula>
    </cfRule>
  </conditionalFormatting>
  <pageMargins left="0.70866141732283472" right="0.70866141732283472" top="0.74803149606299213" bottom="0.74803149606299213" header="0.31496062992125984" footer="0.31496062992125984"/>
  <pageSetup paperSize="9" fitToHeight="0" orientation="landscape" r:id="rId1"/>
  <headerFooter>
    <oddFooter>&amp;L&amp;P&amp;CESCAP&amp;RSEEA Training  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19" ma:contentTypeDescription="Create a new document." ma:contentTypeScope="" ma:versionID="65823827aa7eab6536d4e501f51033b9">
  <xsd:schema xmlns:xsd="http://www.w3.org/2001/XMLSchema" xmlns:xs="http://www.w3.org/2001/XMLSchema" xmlns:p="http://schemas.microsoft.com/office/2006/metadata/properties" xmlns:ns2="80b4fa15-76ba-48c8-b961-b781e21574d2" xmlns:ns3="d0274a15-5367-45e1-987a-873acbd8baaa" xmlns:ns4="985ec44e-1bab-4c0b-9df0-6ba128686fc9" targetNamespace="http://schemas.microsoft.com/office/2006/metadata/properties" ma:root="true" ma:fieldsID="88a85a50db69973f0b17a7fe601a8d7b" ns2:_="" ns3:_="" ns4:_="">
    <xsd:import namespace="80b4fa15-76ba-48c8-b961-b781e21574d2"/>
    <xsd:import namespace="d0274a15-5367-45e1-987a-873acbd8baa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element ref="ns2:Time" minOccurs="0"/>
                <xsd:element ref="ns2:Imag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Time" ma:index="22" nillable="true" ma:displayName="Progress" ma:default="No action" ma:format="Dropdown" ma:internalName="Time">
      <xsd:simpleType>
        <xsd:restriction base="dms:Choice">
          <xsd:enumeration value="Completed"/>
          <xsd:enumeration value="No action"/>
          <xsd:enumeration value="Processing"/>
        </xsd:restriction>
      </xsd:simpleType>
    </xsd:element>
    <xsd:element name="Image" ma:index="23" nillable="true" ma:displayName="Image" ma:internalName="Imag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11277486-0853-43b3-8e89-471c10f59da4}" ma:internalName="TaxCatchAll" ma:showField="CatchAllData" ma:web="d0274a15-5367-45e1-987a-873acbd8ba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80b4fa15-76ba-48c8-b961-b781e21574d2" xsi:nil="true"/>
    <lcf76f155ced4ddcb4097134ff3c332f xmlns="80b4fa15-76ba-48c8-b961-b781e21574d2">
      <Terms xmlns="http://schemas.microsoft.com/office/infopath/2007/PartnerControls"/>
    </lcf76f155ced4ddcb4097134ff3c332f>
    <TaxCatchAll xmlns="985ec44e-1bab-4c0b-9df0-6ba128686fc9" xsi:nil="true"/>
    <Time xmlns="80b4fa15-76ba-48c8-b961-b781e21574d2">No action</Time>
    <Image xmlns="80b4fa15-76ba-48c8-b961-b781e21574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151057-DB2C-4B0A-B595-3D54857C12A2}"/>
</file>

<file path=customXml/itemProps2.xml><?xml version="1.0" encoding="utf-8"?>
<ds:datastoreItem xmlns:ds="http://schemas.openxmlformats.org/officeDocument/2006/customXml" ds:itemID="{E7463A7B-2CE9-47FB-AE06-FF9EB0EF4F32}"/>
</file>

<file path=customXml/itemProps3.xml><?xml version="1.0" encoding="utf-8"?>
<ds:datastoreItem xmlns:ds="http://schemas.openxmlformats.org/officeDocument/2006/customXml" ds:itemID="{5DF3EF1F-4B2E-4685-B9F4-B89B4354A20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Sokol Vako</cp:lastModifiedBy>
  <cp:revision/>
  <dcterms:created xsi:type="dcterms:W3CDTF">2006-09-16T00:00:00Z</dcterms:created>
  <dcterms:modified xsi:type="dcterms:W3CDTF">2023-06-07T03:07:17Z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0x010100B51BF2F834EA4346881D152C2A068B67</vt:lpwstr>
  </property>
  <property fmtid="{D5CDD505-2E9C-101B-9397-08002B2CF9AE}" pid="3" name="Order">
    <vt:r8>3753400</vt:r8>
  </property>
  <property fmtid="{D5CDD505-2E9C-101B-9397-08002B2CF9AE}" pid="4" name="MediaServiceImageTags">
    <vt:lpwstr/>
  </property>
</Properties>
</file>